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codeName="DieseArbeitsmappe" autoCompressPictures="0"/>
  <xr:revisionPtr revIDLastSave="0" documentId="13_ncr:1_{94C04D16-A9EE-46ED-87AB-0562C11CBB53}" xr6:coauthVersionLast="47" xr6:coauthVersionMax="47" xr10:uidLastSave="{00000000-0000-0000-0000-000000000000}"/>
  <bookViews>
    <workbookView xWindow="-120" yWindow="-120" windowWidth="29040" windowHeight="17790"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6" l="1"/>
  <c r="G12" i="6" l="1"/>
  <c r="I125" i="7"/>
  <c r="F124" i="7"/>
  <c r="F130" i="7" s="1"/>
  <c r="I123" i="7"/>
  <c r="I122" i="7"/>
  <c r="D115" i="7"/>
  <c r="F113" i="7"/>
  <c r="I113" i="7" s="1"/>
  <c r="D113" i="7"/>
  <c r="D104" i="7"/>
  <c r="D101" i="7" s="1"/>
  <c r="F103" i="7"/>
  <c r="I103" i="7" s="1"/>
  <c r="D103" i="7"/>
  <c r="I94" i="7"/>
  <c r="I84" i="7"/>
  <c r="F83" i="7"/>
  <c r="I83" i="7" s="1"/>
  <c r="I82" i="7"/>
  <c r="I81" i="7"/>
  <c r="D74" i="7"/>
  <c r="F73" i="7"/>
  <c r="I73" i="7" s="1"/>
  <c r="D73"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71" i="7" s="1"/>
  <c r="F88" i="7"/>
  <c r="F87" i="7"/>
  <c r="D72" i="7" l="1"/>
  <c r="D80" i="7"/>
  <c r="D71" i="7"/>
  <c r="F72" i="7"/>
  <c r="I72" i="7" s="1"/>
  <c r="F80" i="7"/>
  <c r="F74" i="7"/>
  <c r="I74" i="7" s="1"/>
  <c r="I71" i="7"/>
  <c r="F90" i="7" l="1"/>
  <c r="F96" i="7" s="1"/>
  <c r="F102" i="7" l="1"/>
  <c r="I102" i="7" s="1"/>
  <c r="F101" i="7"/>
  <c r="F110" i="7" s="1"/>
  <c r="I110" i="7" s="1"/>
  <c r="F114" i="7"/>
  <c r="I114" i="7" s="1"/>
  <c r="F111" i="7"/>
  <c r="I111" i="7" s="1"/>
  <c r="D111" i="7"/>
  <c r="D121" i="7"/>
  <c r="D114" i="7"/>
  <c r="D109" i="7"/>
  <c r="D110" i="7"/>
  <c r="I101" i="7" l="1"/>
  <c r="F112" i="7"/>
  <c r="I112" i="7" s="1"/>
  <c r="D112" i="7"/>
  <c r="F104" i="7"/>
  <c r="I104" i="7" s="1"/>
  <c r="F109" i="7"/>
  <c r="F115" i="7" s="1"/>
  <c r="I115" i="7" s="1"/>
  <c r="I109" i="7"/>
  <c r="F121" i="7" l="1"/>
  <c r="F131" i="7" s="1"/>
  <c r="F137" i="7" s="1"/>
  <c r="F143" i="7" s="1"/>
  <c r="I143" i="7" s="1"/>
  <c r="D145" i="7"/>
  <c r="D143" i="7" l="1"/>
  <c r="D142" i="7"/>
  <c r="F144" i="7"/>
  <c r="F142" i="7"/>
  <c r="I142" i="7" s="1"/>
  <c r="F145" i="7"/>
  <c r="I145" i="7" s="1"/>
  <c r="D144" i="7"/>
  <c r="I144" i="7"/>
  <c r="B6" i="7"/>
  <c r="F146" i="7"/>
  <c r="I146" i="7" s="1"/>
  <c r="G38" i="6" l="1"/>
  <c r="G32" i="6"/>
  <c r="G17"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<sst xmlns="http://schemas.openxmlformats.org/spreadsheetml/2006/main" count="412" uniqueCount="184">
  <si>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</si>
  <si>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</si>
  <si>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</si>
  <si>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</si>
  <si>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</si>
  <si>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</si>
  <si>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</si>
  <si>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</si>
  <si>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</si>
  <si>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</si>
  <si>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</si>
  <si>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</si>
  <si>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</si>
  <si>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</si>
  <si>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</si>
  <si>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</si>
  <si>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</si>
  <si>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</si>
  <si>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</si>
  <si>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</si>
  <si>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</si>
  <si>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</si>
  <si>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</si>
  <si>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</si>
  <si>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</si>
  <si>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</si>
  <si>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</si>
  <si>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</si>
  <si>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</si>
  <si>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</si>
  <si>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</si>
  <si>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</si>
  <si>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</si>
  <si>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</si>
  <si>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</si>
  <si>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</si>
  <si>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</si>
  <si>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</si>
  <si>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</si>
  <si>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</si>
  <si>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</si>
  <si>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</si>
  <si>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</si>
  <si>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</si>
  <si>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</si>
  <si>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</si>
  <si>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</si>
  <si>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</si>
  <si>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</si>
  <si>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</si>
  <si>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</si>
  <si>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</si>
  <si>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</si>
  <si>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</si>
  <si>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</si>
  <si>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</si>
  <si>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</si>
  <si>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</si>
  <si>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</si>
  <si>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</si>
  <si>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</si>
  <si>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t xml:space="preserve"> </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</si>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</sst>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50" x14ac:knownFonts="1">
    <font>
      <sz val="10"/>
      <name val="Arial"/>
      <family val="2"/>
    </font>
    <font>
      <sz val="11"/>
      <color theme="1"/>
      <name val="Calibri"/>
      <family val="2"/>
      <scheme val="minor"/>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0"/>
    <xf numFmtId="43" fontId="1" fillId="0" borderId="0" applyFont="0" applyFill="0" applyBorder="0" applyAlignment="0" applyProtection="0"/>
  </cellStyleXfs>
  <cellXfs count="217">
    <xf numFmtId="0" fontId="0" fillId="0" borderId="0" xfId="0"/>
    <xf numFmtId="0" fontId="5" fillId="8" borderId="0" xfId="0" applyFont="1" applyFill="1" applyAlignment="1">
      <alignment wrapText="1"/>
    </xf>
    <xf numFmtId="43" fontId="5" fillId="9" borderId="4" xfId="1" applyFont="1" applyFill="1" applyBorder="1" applyAlignment="1" applyProtection="1">
      <alignment horizontal="left" indent="1"/>
      <protection locked="0"/>
    </xf>
    <xf numFmtId="165" fontId="5" fillId="9" borderId="4" xfId="1" applyNumberFormat="1" applyFont="1" applyFill="1" applyBorder="1" applyAlignment="1" applyProtection="1">
      <alignment horizontal="left" indent="1"/>
      <protection locked="0"/>
    </xf>
    <xf numFmtId="43" fontId="5" fillId="9" borderId="4" xfId="0" applyNumberFormat="1" applyFont="1" applyFill="1" applyBorder="1" applyProtection="1">
      <protection locked="0"/>
    </xf>
    <xf numFmtId="166" fontId="5" fillId="9" borderId="4" xfId="0" applyNumberFormat="1" applyFont="1" applyFill="1" applyBorder="1" applyProtection="1">
      <protection locked="0"/>
    </xf>
    <xf numFmtId="166" fontId="5" fillId="10" borderId="4" xfId="0" applyNumberFormat="1" applyFont="1" applyFill="1" applyBorder="1" applyProtection="1">
      <protection locked="0"/>
    </xf>
    <xf numFmtId="9" fontId="16" fillId="9" borderId="4" xfId="0" applyNumberFormat="1" applyFont="1" applyFill="1" applyBorder="1" applyProtection="1">
      <protection locked="0"/>
    </xf>
    <xf numFmtId="10" fontId="16" fillId="9" borderId="4" xfId="0" applyNumberFormat="1" applyFont="1" applyFill="1" applyBorder="1" applyProtection="1">
      <protection locked="0"/>
    </xf>
    <xf numFmtId="0" fontId="16" fillId="9" borderId="4" xfId="0" applyFont="1" applyFill="1" applyBorder="1" applyProtection="1">
      <protection locked="0"/>
    </xf>
    <xf numFmtId="44" fontId="16" fillId="9" borderId="4" xfId="0" applyNumberFormat="1" applyFont="1" applyFill="1" applyBorder="1" applyProtection="1">
      <protection locked="0"/>
    </xf>
    <xf numFmtId="2" fontId="16" fillId="9" borderId="4" xfId="0" applyNumberFormat="1" applyFont="1" applyFill="1" applyBorder="1" applyProtection="1">
      <protection locked="0"/>
    </xf>
    <xf numFmtId="0" fontId="4"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10" fillId="0" borderId="0" xfId="0" applyFont="1" applyAlignment="1">
      <alignment horizontal="left" wrapText="1"/>
    </xf>
    <xf numFmtId="0" fontId="10" fillId="0" borderId="1" xfId="0" applyFont="1" applyBorder="1" applyAlignment="1">
      <alignment horizontal="left" wrapText="1"/>
    </xf>
    <xf numFmtId="0" fontId="0" fillId="0" borderId="1" xfId="0" applyBorder="1"/>
    <xf numFmtId="0" fontId="6" fillId="0" borderId="0" xfId="0" applyFont="1" applyAlignment="1">
      <alignment vertical="center"/>
    </xf>
    <xf numFmtId="0" fontId="0" fillId="0" borderId="0" xfId="0" applyAlignment="1">
      <alignment wrapText="1"/>
    </xf>
    <xf numFmtId="0" fontId="4" fillId="0" borderId="0" xfId="0" applyFont="1"/>
    <xf numFmtId="0" fontId="12" fillId="0" borderId="0" xfId="0" applyFont="1" applyAlignment="1">
      <alignment horizontal="left"/>
    </xf>
    <xf numFmtId="0" fontId="5" fillId="0" borderId="0" xfId="0" applyFont="1" applyAlignment="1">
      <alignment horizontal="left"/>
    </xf>
    <xf numFmtId="0" fontId="5" fillId="0" borderId="0" xfId="0" applyFont="1"/>
    <xf numFmtId="0" fontId="7" fillId="0" borderId="0" xfId="0" applyFont="1" applyAlignment="1">
      <alignment horizontal="left" wrapText="1"/>
    </xf>
    <xf numFmtId="0" fontId="21" fillId="0" borderId="0" xfId="0" applyFont="1"/>
    <xf numFmtId="0" fontId="0" fillId="8" borderId="0" xfId="0" applyFill="1"/>
    <xf numFmtId="0" fontId="0" fillId="8" borderId="0" xfId="0" applyFill="1" applyAlignment="1">
      <alignment wrapText="1"/>
    </xf>
    <xf numFmtId="0" fontId="5" fillId="8" borderId="0" xfId="0" applyFont="1" applyFill="1"/>
    <xf numFmtId="0" fontId="22" fillId="0" borderId="0" xfId="0" applyFont="1"/>
    <xf numFmtId="0" fontId="5" fillId="4" borderId="0" xfId="0" applyFont="1" applyFill="1"/>
    <xf numFmtId="0" fontId="0" fillId="3" borderId="0" xfId="0" applyFill="1"/>
    <xf numFmtId="0" fontId="0" fillId="3" borderId="0" xfId="0" applyFill="1" applyAlignment="1">
      <alignment horizontal="left" wrapText="1"/>
    </xf>
    <xf numFmtId="43" fontId="5" fillId="3" borderId="0" xfId="1" applyFont="1" applyFill="1" applyBorder="1" applyAlignment="1" applyProtection="1">
      <alignment horizontal="left" indent="1"/>
    </xf>
    <xf numFmtId="0" fontId="0" fillId="0" borderId="0" xfId="0" applyAlignment="1">
      <alignment horizontal="left" indent="1"/>
    </xf>
    <xf numFmtId="43" fontId="2" fillId="3" borderId="0" xfId="1" applyFont="1" applyFill="1" applyBorder="1" applyAlignment="1" applyProtection="1">
      <alignment horizontal="left" indent="1"/>
    </xf>
    <xf numFmtId="0" fontId="23" fillId="0" borderId="0" xfId="0" applyFont="1"/>
    <xf numFmtId="0" fontId="5" fillId="3" borderId="0" xfId="0" applyFont="1" applyFill="1"/>
    <xf numFmtId="165" fontId="2" fillId="3" borderId="0" xfId="1" applyNumberFormat="1" applyFont="1" applyFill="1" applyBorder="1" applyProtection="1"/>
    <xf numFmtId="0" fontId="8" fillId="3" borderId="0" xfId="0" applyFont="1" applyFill="1"/>
    <xf numFmtId="0" fontId="8" fillId="3" borderId="0" xfId="0" applyFont="1" applyFill="1" applyAlignment="1">
      <alignment wrapText="1"/>
    </xf>
    <xf numFmtId="43" fontId="8" fillId="3" borderId="0" xfId="0" applyNumberFormat="1" applyFont="1" applyFill="1"/>
    <xf numFmtId="9" fontId="5" fillId="3" borderId="0" xfId="3" applyFont="1" applyFill="1" applyBorder="1" applyProtection="1"/>
    <xf numFmtId="9" fontId="2" fillId="3" borderId="0" xfId="3" applyFont="1" applyFill="1" applyBorder="1" applyProtection="1"/>
    <xf numFmtId="43" fontId="5" fillId="3" borderId="0" xfId="0" applyNumberFormat="1" applyFont="1" applyFill="1"/>
    <xf numFmtId="43" fontId="2" fillId="3" borderId="0" xfId="0" applyNumberFormat="1" applyFont="1" applyFill="1"/>
    <xf numFmtId="43" fontId="8" fillId="3" borderId="3" xfId="0" applyNumberFormat="1" applyFont="1" applyFill="1" applyBorder="1"/>
    <xf numFmtId="0" fontId="8" fillId="3" borderId="0" xfId="0" applyFont="1" applyFill="1" applyAlignment="1">
      <alignment horizontal="left" wrapText="1"/>
    </xf>
    <xf numFmtId="0" fontId="11" fillId="5" borderId="3" xfId="0" applyFont="1" applyFill="1" applyBorder="1"/>
    <xf numFmtId="43" fontId="8" fillId="5" borderId="3" xfId="0" applyNumberFormat="1" applyFont="1" applyFill="1" applyBorder="1"/>
    <xf numFmtId="0" fontId="7" fillId="2" borderId="0" xfId="0" applyFont="1" applyFill="1"/>
    <xf numFmtId="0" fontId="0" fillId="2" borderId="0" xfId="0" applyFill="1"/>
    <xf numFmtId="0" fontId="0" fillId="2" borderId="0" xfId="0" applyFill="1" applyAlignment="1">
      <alignment horizontal="left" wrapText="1"/>
    </xf>
    <xf numFmtId="0" fontId="5" fillId="2" borderId="0" xfId="0" applyFont="1" applyFill="1"/>
    <xf numFmtId="0" fontId="0" fillId="2" borderId="5" xfId="0" applyFill="1" applyBorder="1"/>
    <xf numFmtId="0" fontId="11"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1" fillId="5" borderId="0" xfId="0" applyFont="1" applyFill="1" applyAlignment="1">
      <alignment horizontal="left" wrapText="1"/>
    </xf>
    <xf numFmtId="43" fontId="8" fillId="5" borderId="0" xfId="1" applyFont="1" applyFill="1" applyBorder="1" applyProtection="1"/>
    <xf numFmtId="0" fontId="5" fillId="6" borderId="0" xfId="0" applyFont="1" applyFill="1" applyAlignment="1">
      <alignment horizontal="right"/>
    </xf>
    <xf numFmtId="0" fontId="5"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1" fillId="7" borderId="0" xfId="0" applyFont="1" applyFill="1" applyAlignment="1">
      <alignment horizontal="left" wrapText="1"/>
    </xf>
    <xf numFmtId="43" fontId="8" fillId="7" borderId="0" xfId="1" applyFont="1" applyFill="1" applyBorder="1" applyProtection="1"/>
    <xf numFmtId="0" fontId="0" fillId="7" borderId="0" xfId="0" applyFill="1" applyAlignment="1">
      <alignment horizontal="left" indent="1"/>
    </xf>
    <xf numFmtId="164" fontId="15" fillId="6" borderId="4" xfId="0" applyNumberFormat="1" applyFont="1" applyFill="1" applyBorder="1" applyAlignment="1">
      <alignment horizontal="right"/>
    </xf>
    <xf numFmtId="0" fontId="9"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7" fillId="3" borderId="0" xfId="0" applyFont="1" applyFill="1"/>
    <xf numFmtId="0" fontId="2" fillId="0" borderId="0" xfId="0" applyFont="1"/>
    <xf numFmtId="0" fontId="7" fillId="0" borderId="0" xfId="0" applyFont="1"/>
    <xf numFmtId="0" fontId="11" fillId="5" borderId="3" xfId="0" applyFont="1" applyFill="1" applyBorder="1" applyAlignment="1">
      <alignment horizontal="left" wrapText="1"/>
    </xf>
    <xf numFmtId="43" fontId="8" fillId="5" borderId="3" xfId="0" applyNumberFormat="1" applyFont="1" applyFill="1" applyBorder="1" applyAlignment="1">
      <alignment horizontal="right"/>
    </xf>
    <xf numFmtId="166" fontId="11"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5" fillId="7" borderId="0" xfId="0" applyFont="1" applyFill="1"/>
    <xf numFmtId="3" fontId="0" fillId="7" borderId="0" xfId="0" applyNumberFormat="1" applyFill="1"/>
    <xf numFmtId="0" fontId="5"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3" fillId="0" borderId="0" xfId="0" applyFont="1"/>
    <xf numFmtId="0" fontId="3" fillId="0" borderId="0" xfId="0" applyFont="1" applyAlignment="1">
      <alignment horizontal="left" wrapText="1"/>
    </xf>
    <xf numFmtId="0" fontId="3" fillId="0" borderId="0" xfId="0" applyFont="1" applyAlignment="1">
      <alignment horizontal="left" indent="1"/>
    </xf>
    <xf numFmtId="9" fontId="3" fillId="0" borderId="0" xfId="3" applyFont="1" applyFill="1" applyBorder="1" applyAlignment="1" applyProtection="1">
      <alignment horizontal="left" indent="1"/>
    </xf>
    <xf numFmtId="0" fontId="30" fillId="8" borderId="0" xfId="0" applyFont="1" applyFill="1"/>
    <xf numFmtId="0" fontId="31" fillId="8" borderId="0" xfId="0" applyFont="1" applyFill="1" applyAlignment="1">
      <alignment wrapText="1"/>
    </xf>
    <xf numFmtId="0" fontId="30" fillId="0" borderId="0" xfId="0" applyFont="1"/>
    <xf numFmtId="0" fontId="30" fillId="3" borderId="0" xfId="0" applyFont="1" applyFill="1"/>
    <xf numFmtId="0" fontId="32" fillId="3" borderId="0" xfId="0" applyFont="1" applyFill="1"/>
    <xf numFmtId="43" fontId="32" fillId="3" borderId="3" xfId="0" applyNumberFormat="1" applyFont="1" applyFill="1" applyBorder="1"/>
    <xf numFmtId="43" fontId="32" fillId="3" borderId="0" xfId="0" applyNumberFormat="1" applyFont="1" applyFill="1"/>
    <xf numFmtId="0" fontId="33" fillId="5" borderId="3" xfId="0" applyFont="1" applyFill="1" applyBorder="1"/>
    <xf numFmtId="0" fontId="34" fillId="2" borderId="0" xfId="0" applyFont="1" applyFill="1"/>
    <xf numFmtId="0" fontId="30" fillId="2" borderId="0" xfId="0" applyFont="1" applyFill="1"/>
    <xf numFmtId="0" fontId="33" fillId="2" borderId="0" xfId="0" applyFont="1" applyFill="1"/>
    <xf numFmtId="0" fontId="35" fillId="0" borderId="0" xfId="0" applyFont="1" applyAlignment="1">
      <alignment vertical="center"/>
    </xf>
    <xf numFmtId="0" fontId="30" fillId="0" borderId="0" xfId="0" applyFont="1" applyAlignment="1">
      <alignment horizontal="left" wrapText="1"/>
    </xf>
    <xf numFmtId="0" fontId="30" fillId="0" borderId="0" xfId="0" applyFont="1" applyAlignment="1">
      <alignment horizontal="left" indent="1"/>
    </xf>
    <xf numFmtId="43" fontId="31" fillId="9" borderId="4" xfId="0" applyNumberFormat="1" applyFont="1" applyFill="1" applyBorder="1" applyProtection="1">
      <protection locked="0"/>
    </xf>
    <xf numFmtId="43" fontId="32" fillId="5" borderId="3" xfId="0" applyNumberFormat="1" applyFont="1" applyFill="1" applyBorder="1"/>
    <xf numFmtId="0" fontId="30" fillId="2" borderId="0" xfId="0" applyFont="1" applyFill="1" applyAlignment="1">
      <alignment horizontal="left" wrapText="1"/>
    </xf>
    <xf numFmtId="0" fontId="31" fillId="2" borderId="0" xfId="0" applyFont="1" applyFill="1"/>
    <xf numFmtId="0" fontId="30" fillId="2" borderId="5" xfId="0" applyFont="1" applyFill="1" applyBorder="1"/>
    <xf numFmtId="0" fontId="30" fillId="0" borderId="0" xfId="0" applyFont="1" applyAlignment="1">
      <alignment wrapText="1"/>
    </xf>
    <xf numFmtId="0" fontId="30" fillId="0" borderId="0" xfId="0" applyFont="1" applyAlignment="1">
      <alignment horizontal="right"/>
    </xf>
    <xf numFmtId="0" fontId="30" fillId="5" borderId="3" xfId="0" applyFont="1" applyFill="1" applyBorder="1" applyAlignment="1">
      <alignment horizontal="left" wrapText="1"/>
    </xf>
    <xf numFmtId="0" fontId="33" fillId="5" borderId="0" xfId="0" applyFont="1" applyFill="1" applyAlignment="1">
      <alignment horizontal="left" wrapText="1"/>
    </xf>
    <xf numFmtId="43" fontId="32" fillId="5" borderId="0" xfId="1" applyFont="1" applyFill="1" applyBorder="1" applyProtection="1"/>
    <xf numFmtId="0" fontId="31" fillId="6" borderId="0" xfId="0" applyFont="1" applyFill="1" applyAlignment="1">
      <alignment horizontal="right"/>
    </xf>
    <xf numFmtId="0" fontId="31" fillId="6" borderId="0" xfId="0" applyFont="1" applyFill="1" applyAlignment="1">
      <alignment horizontal="left"/>
    </xf>
    <xf numFmtId="4" fontId="30" fillId="6" borderId="0" xfId="0" applyNumberFormat="1" applyFont="1" applyFill="1" applyAlignment="1">
      <alignment horizontal="right"/>
    </xf>
    <xf numFmtId="0" fontId="30" fillId="7" borderId="0" xfId="0" applyFont="1" applyFill="1"/>
    <xf numFmtId="0" fontId="30" fillId="7" borderId="0" xfId="0" applyFont="1" applyFill="1" applyAlignment="1">
      <alignment horizontal="left"/>
    </xf>
    <xf numFmtId="0" fontId="33" fillId="7" borderId="0" xfId="0" applyFont="1" applyFill="1" applyAlignment="1">
      <alignment horizontal="left" wrapText="1"/>
    </xf>
    <xf numFmtId="43" fontId="32" fillId="7" borderId="0" xfId="1" applyFont="1" applyFill="1" applyBorder="1" applyProtection="1"/>
    <xf numFmtId="0" fontId="30" fillId="7" borderId="0" xfId="0" applyFont="1" applyFill="1" applyAlignment="1">
      <alignment horizontal="left" indent="1"/>
    </xf>
    <xf numFmtId="164" fontId="36" fillId="6" borderId="4" xfId="0" applyNumberFormat="1" applyFont="1" applyFill="1" applyBorder="1" applyAlignment="1">
      <alignment horizontal="right"/>
    </xf>
    <xf numFmtId="43" fontId="30" fillId="3" borderId="0" xfId="1" applyFont="1" applyFill="1" applyBorder="1" applyAlignment="1" applyProtection="1">
      <alignment horizontal="left" indent="1"/>
    </xf>
    <xf numFmtId="165" fontId="30" fillId="3" borderId="0" xfId="1" applyNumberFormat="1" applyFont="1" applyFill="1" applyBorder="1" applyProtection="1"/>
    <xf numFmtId="9" fontId="30" fillId="3" borderId="0" xfId="3" applyFont="1" applyFill="1" applyBorder="1" applyProtection="1"/>
    <xf numFmtId="43" fontId="30" fillId="3" borderId="0" xfId="0" applyNumberFormat="1" applyFont="1" applyFill="1"/>
    <xf numFmtId="0" fontId="5" fillId="0" borderId="0" xfId="0" applyFont="1" applyAlignment="1">
      <alignment horizontal="left" vertical="center"/>
    </xf>
    <xf numFmtId="0" fontId="19" fillId="0" borderId="0" xfId="0" applyFont="1" applyAlignment="1">
      <alignment vertical="center"/>
    </xf>
    <xf numFmtId="0" fontId="0" fillId="0" borderId="0" xfId="0" applyAlignment="1">
      <alignment vertical="center"/>
    </xf>
    <xf numFmtId="43" fontId="37" fillId="0" borderId="0" xfId="1" applyFont="1" applyBorder="1" applyAlignment="1">
      <alignment vertical="center" wrapText="1"/>
    </xf>
    <xf numFmtId="9" fontId="5" fillId="9" borderId="4" xfId="3" applyFont="1" applyFill="1" applyBorder="1" applyAlignment="1" applyProtection="1">
      <alignment horizontal="right" vertical="center"/>
      <protection locked="0"/>
    </xf>
    <xf numFmtId="0" fontId="38" fillId="0" borderId="0" xfId="0" applyFont="1" applyAlignment="1">
      <alignment vertical="center"/>
    </xf>
    <xf numFmtId="0" fontId="39" fillId="0" borderId="0" xfId="0" applyFont="1"/>
    <xf numFmtId="0" fontId="40" fillId="0" borderId="0" xfId="0" applyFont="1" applyAlignment="1">
      <alignment vertical="center"/>
    </xf>
    <xf numFmtId="0" fontId="41" fillId="0" borderId="0" xfId="0" applyFont="1" applyAlignment="1">
      <alignment vertical="center"/>
    </xf>
    <xf numFmtId="0" fontId="6" fillId="0" borderId="0" xfId="0" applyFont="1" applyAlignment="1">
      <alignment vertical="top"/>
    </xf>
    <xf numFmtId="0" fontId="42" fillId="0" borderId="0" xfId="0" applyFont="1"/>
    <xf numFmtId="0" fontId="43" fillId="0" borderId="0" xfId="0" applyFont="1" applyAlignment="1">
      <alignment vertical="center" wrapText="1"/>
    </xf>
    <xf numFmtId="0" fontId="44" fillId="0" borderId="0" xfId="0" applyFont="1" applyAlignment="1">
      <alignment vertical="center" wrapText="1"/>
    </xf>
    <xf numFmtId="0" fontId="5" fillId="0" borderId="0" xfId="0" applyFont="1" applyAlignment="1">
      <alignment vertical="center"/>
    </xf>
    <xf numFmtId="0" fontId="0" fillId="2" borderId="5" xfId="0" applyFill="1" applyBorder="1" applyAlignment="1">
      <alignment vertical="top" wrapText="1"/>
    </xf>
    <xf numFmtId="0" fontId="8" fillId="2" borderId="5" xfId="0" applyFont="1" applyFill="1" applyBorder="1" applyAlignment="1">
      <alignment vertical="top" wrapText="1"/>
    </xf>
    <xf numFmtId="165" fontId="5" fillId="9" borderId="4" xfId="1" applyNumberFormat="1" applyFont="1" applyFill="1" applyBorder="1" applyAlignment="1" applyProtection="1">
      <alignment horizontal="left" vertical="center"/>
      <protection locked="0"/>
    </xf>
    <xf numFmtId="0" fontId="37" fillId="0" borderId="0" xfId="0" applyFont="1" applyAlignment="1">
      <alignment vertical="center" wrapText="1"/>
    </xf>
    <xf numFmtId="0" fontId="5" fillId="0" borderId="6" xfId="0" applyFont="1" applyBorder="1" applyAlignment="1">
      <alignment horizontal="left" vertical="center"/>
    </xf>
    <xf numFmtId="0" fontId="5"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6"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8" fillId="11" borderId="6" xfId="0" applyFont="1" applyFill="1" applyBorder="1" applyAlignment="1">
      <alignment vertical="top" wrapText="1"/>
    </xf>
    <xf numFmtId="165" fontId="5" fillId="9" borderId="9" xfId="1" applyNumberFormat="1" applyFont="1" applyFill="1" applyBorder="1" applyAlignment="1" applyProtection="1">
      <alignment horizontal="left" vertical="center"/>
      <protection locked="0"/>
    </xf>
    <xf numFmtId="0" fontId="8" fillId="11" borderId="5" xfId="0" applyFont="1" applyFill="1" applyBorder="1" applyAlignment="1">
      <alignment wrapText="1"/>
    </xf>
    <xf numFmtId="165" fontId="46" fillId="9" borderId="10" xfId="1" applyNumberFormat="1" applyFont="1" applyFill="1" applyBorder="1" applyAlignment="1" applyProtection="1">
      <alignment horizontal="left" vertical="center"/>
      <protection locked="0"/>
    </xf>
    <xf numFmtId="0" fontId="0" fillId="11" borderId="0" xfId="0" applyFill="1"/>
    <xf numFmtId="165" fontId="5" fillId="9" borderId="11" xfId="1" applyNumberFormat="1" applyFont="1" applyFill="1" applyBorder="1" applyAlignment="1" applyProtection="1">
      <alignment horizontal="left" vertical="center"/>
      <protection locked="0"/>
    </xf>
    <xf numFmtId="9" fontId="5" fillId="9" borderId="4" xfId="0" applyNumberFormat="1" applyFont="1" applyFill="1" applyBorder="1" applyAlignment="1" applyProtection="1">
      <alignment vertical="center"/>
      <protection locked="0"/>
    </xf>
    <xf numFmtId="10" fontId="5"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8" fillId="0" borderId="0" xfId="0" applyFont="1" applyAlignment="1">
      <alignment wrapText="1"/>
    </xf>
    <xf numFmtId="0" fontId="8" fillId="0" borderId="0" xfId="0" applyFont="1"/>
    <xf numFmtId="43" fontId="5" fillId="9" borderId="4" xfId="1" applyFont="1" applyFill="1" applyBorder="1" applyAlignment="1" applyProtection="1">
      <alignment horizontal="left" vertical="center"/>
      <protection locked="0"/>
    </xf>
    <xf numFmtId="43" fontId="8" fillId="3" borderId="0" xfId="1" applyFont="1" applyFill="1" applyBorder="1" applyAlignment="1">
      <alignment horizontal="left" vertical="center"/>
    </xf>
    <xf numFmtId="0" fontId="0" fillId="0" borderId="0" xfId="0" applyAlignment="1">
      <alignment vertical="center" wrapText="1"/>
    </xf>
    <xf numFmtId="165" fontId="2" fillId="3" borderId="0" xfId="1" applyNumberFormat="1" applyFont="1" applyFill="1" applyBorder="1" applyAlignment="1">
      <alignment vertical="center"/>
    </xf>
    <xf numFmtId="43" fontId="8" fillId="3" borderId="0" xfId="0" applyNumberFormat="1" applyFont="1" applyFill="1" applyAlignment="1">
      <alignment vertical="center"/>
    </xf>
    <xf numFmtId="0" fontId="0" fillId="3" borderId="0" xfId="0" applyFill="1" applyAlignment="1">
      <alignment vertical="top"/>
    </xf>
    <xf numFmtId="43" fontId="8" fillId="3" borderId="3" xfId="0" applyNumberFormat="1" applyFont="1" applyFill="1" applyBorder="1" applyAlignment="1">
      <alignment vertical="center"/>
    </xf>
    <xf numFmtId="43" fontId="8" fillId="3" borderId="0" xfId="0" applyNumberFormat="1" applyFont="1" applyFill="1" applyAlignment="1">
      <alignment wrapText="1"/>
    </xf>
    <xf numFmtId="43" fontId="5" fillId="9" borderId="4" xfId="0" applyNumberFormat="1" applyFont="1" applyFill="1" applyBorder="1" applyAlignment="1" applyProtection="1">
      <alignment vertical="center"/>
      <protection locked="0"/>
    </xf>
    <xf numFmtId="43" fontId="8"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8"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1" fillId="12" borderId="0" xfId="1" applyFont="1" applyFill="1" applyBorder="1" applyAlignment="1">
      <alignment vertical="center"/>
    </xf>
    <xf numFmtId="0" fontId="47" fillId="2" borderId="0" xfId="0" applyFont="1" applyFill="1"/>
    <xf numFmtId="165" fontId="48" fillId="2" borderId="3" xfId="0" applyNumberFormat="1" applyFont="1" applyFill="1" applyBorder="1" applyAlignment="1">
      <alignment horizontal="left" wrapText="1"/>
    </xf>
    <xf numFmtId="0" fontId="48" fillId="0" borderId="0" xfId="0" applyFont="1" applyAlignment="1">
      <alignment horizontal="left" indent="1"/>
    </xf>
    <xf numFmtId="43" fontId="47"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8" fillId="3" borderId="0" xfId="0" applyNumberFormat="1" applyFont="1" applyFill="1" applyAlignment="1">
      <alignment horizontal="left" wrapText="1"/>
    </xf>
    <xf numFmtId="43" fontId="0" fillId="3" borderId="0" xfId="0" applyNumberFormat="1" applyFill="1" applyAlignment="1">
      <alignment vertical="center"/>
    </xf>
    <xf numFmtId="0" fontId="2" fillId="0" borderId="0" xfId="0" applyFont="1" applyAlignment="1">
      <alignment vertical="center"/>
    </xf>
    <xf numFmtId="0" fontId="0" fillId="2" borderId="0" xfId="0" applyFill="1" applyAlignment="1">
      <alignment wrapText="1"/>
    </xf>
    <xf numFmtId="0" fontId="47" fillId="2" borderId="0" xfId="0" applyFont="1" applyFill="1" applyAlignment="1">
      <alignment wrapText="1"/>
    </xf>
    <xf numFmtId="0" fontId="48" fillId="2" borderId="0" xfId="0" applyFont="1" applyFill="1" applyAlignment="1">
      <alignment wrapText="1"/>
    </xf>
    <xf numFmtId="167" fontId="48" fillId="2" borderId="0" xfId="1" applyNumberFormat="1" applyFont="1" applyFill="1" applyBorder="1" applyAlignment="1">
      <alignment vertical="center"/>
    </xf>
    <xf numFmtId="43" fontId="47" fillId="2" borderId="0" xfId="1" applyFont="1" applyFill="1" applyBorder="1" applyAlignment="1">
      <alignment vertical="center"/>
    </xf>
    <xf numFmtId="0" fontId="49" fillId="0" borderId="0" xfId="0" applyFont="1" applyAlignment="1">
      <alignment vertical="center"/>
    </xf>
    <xf numFmtId="168" fontId="0" fillId="0" borderId="0" xfId="0" applyNumberFormat="1"/>
    <xf numFmtId="9" fontId="3" fillId="0" borderId="0" xfId="3" applyFont="1" applyFill="1" applyBorder="1" applyAlignment="1">
      <alignment horizontal="left" indent="1"/>
    </xf>
    <xf numFmtId="167" fontId="8" fillId="3" borderId="0" xfId="0" applyNumberFormat="1" applyFont="1" applyFill="1" applyAlignment="1">
      <alignment horizontal="left" vertical="top" wrapText="1"/>
    </xf>
    <xf numFmtId="165" fontId="19" fillId="0" borderId="0" xfId="0" applyNumberFormat="1" applyFont="1" applyAlignment="1">
      <alignment vertical="center"/>
    </xf>
    <xf numFmtId="0" fontId="0" fillId="0" borderId="0" xfId="0" applyAlignment="1">
      <alignment horizontal="left" vertical="top" wrapText="1"/>
    </xf>
    <xf numFmtId="0" fontId="8" fillId="0" borderId="0" xfId="0" applyFont="1" applyAlignment="1">
      <alignmen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11" fillId="5" borderId="3" xfId="0" applyFont="1" applyFill="1" applyBorder="1" applyAlignment="1">
      <alignment horizontal="left" wrapText="1"/>
    </xf>
    <xf numFmtId="0" fontId="0" fillId="0" borderId="0" xfId="0" applyAlignment="1">
      <alignment horizontal="left" vertical="top" wrapText="1" indent="1"/>
    </xf>
    <xf numFmtId="0" fontId="22" fillId="0" borderId="0" xfId="0" applyFont="1" applyAlignment="1">
      <alignment horizontal="left" vertical="top" wrapText="1"/>
    </xf>
    <xf numFmtId="0" fontId="33" fillId="5" borderId="3" xfId="0" applyFont="1" applyFill="1" applyBorder="1" applyAlignment="1">
      <alignment horizontal="left" wrapText="1"/>
    </xf>
    <xf numFmtId="0" fontId="8" fillId="5" borderId="3" xfId="0" applyFont="1" applyFill="1" applyBorder="1" applyAlignment="1">
      <alignment horizontal="left" wrapText="1"/>
    </xf>
    <xf numFmtId="0" fontId="5" fillId="0" borderId="0" xfId="0" applyFont="1" applyAlignment="1">
      <alignment horizontal="left" vertical="center" wrapText="1"/>
    </xf>
  </cellXfs>
  <cellStyles count="44">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Komma 2" xfId="43" xr:uid="{432EBDB5-E50E-4E8E-9B02-0D1915A6C986}"/>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 name="Standard 2" xfId="42" xr:uid="{D271C603-EF37-4AE5-B5DD-A4479A00F18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74"/>
  <sheetViews>
    <sheetView tabSelected="1" topLeftCell="A20" zoomScaleNormal="100" zoomScalePageLayoutView="190" workbookViewId="0">
      <selection activeCell="Q36" sqref="Q36"/>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79</v>
      </c>
      <c r="D4"/>
      <c r="F4" s="25" t="s">
        <v>19</v>
      </c>
      <c r="G4" s="26"/>
      <c r="I4"/>
      <c r="K4"/>
    </row>
    <row r="5" spans="1:12" ht="147" customHeight="1" x14ac:dyDescent="0.2">
      <c r="B5" s="22"/>
      <c r="C5" s="209" t="s">
        <v>62</v>
      </c>
      <c r="D5" s="209"/>
      <c r="E5" s="209"/>
      <c r="F5" s="209"/>
      <c r="G5" s="209"/>
      <c r="H5" s="209"/>
      <c r="I5" s="209"/>
      <c r="K5"/>
      <c r="L5" s="23"/>
    </row>
    <row r="6" spans="1:12" ht="39" customHeight="1" x14ac:dyDescent="0.2">
      <c r="B6" s="22"/>
      <c r="C6" s="210" t="s">
        <v>73</v>
      </c>
      <c r="D6" s="210"/>
      <c r="E6" s="210"/>
      <c r="F6" s="210"/>
      <c r="G6" s="210"/>
      <c r="I6"/>
      <c r="K6"/>
    </row>
    <row r="7" spans="1:12" x14ac:dyDescent="0.2">
      <c r="A7" s="27" t="s">
        <v>42</v>
      </c>
      <c r="D7" s="28" t="s">
        <v>4</v>
      </c>
      <c r="I7"/>
      <c r="K7"/>
    </row>
    <row r="8" spans="1:12" x14ac:dyDescent="0.2">
      <c r="A8" s="22"/>
      <c r="I8" s="29" t="s">
        <v>63</v>
      </c>
      <c r="K8"/>
    </row>
    <row r="9" spans="1:12" x14ac:dyDescent="0.2">
      <c r="B9" s="30"/>
      <c r="C9" s="1" t="s">
        <v>23</v>
      </c>
      <c r="D9" s="31"/>
      <c r="E9" s="30"/>
      <c r="F9" s="32"/>
      <c r="G9" s="7">
        <v>0.04</v>
      </c>
      <c r="I9" s="33" t="s">
        <v>85</v>
      </c>
      <c r="K9"/>
    </row>
    <row r="10" spans="1:12" x14ac:dyDescent="0.2">
      <c r="B10" s="30"/>
      <c r="C10" s="1" t="s">
        <v>16</v>
      </c>
      <c r="D10" s="31"/>
      <c r="E10" s="30"/>
      <c r="F10" s="32"/>
      <c r="G10" s="8">
        <v>1.4999999999999999E-2</v>
      </c>
      <c r="I10" s="33" t="s">
        <v>85</v>
      </c>
      <c r="K10"/>
    </row>
    <row r="11" spans="1:12" x14ac:dyDescent="0.2">
      <c r="B11" s="30"/>
      <c r="C11" s="1" t="s">
        <v>25</v>
      </c>
      <c r="D11" s="31"/>
      <c r="E11" s="32"/>
      <c r="F11" s="32"/>
      <c r="G11" s="8">
        <v>4.0000000000000001E-3</v>
      </c>
      <c r="I11" s="33" t="s">
        <v>85</v>
      </c>
      <c r="K11"/>
    </row>
    <row r="12" spans="1:12" ht="12.75" customHeight="1" x14ac:dyDescent="0.2">
      <c r="B12" s="30"/>
      <c r="C12" s="1" t="s">
        <v>86</v>
      </c>
      <c r="D12" s="31"/>
      <c r="E12" s="32"/>
      <c r="F12" s="32"/>
      <c r="G12" s="3">
        <v>3590</v>
      </c>
      <c r="I12" s="33" t="s">
        <v>64</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v>384069.78</v>
      </c>
      <c r="I16" s="33" t="s">
        <v>65</v>
      </c>
      <c r="K16"/>
    </row>
    <row r="17" spans="1:11" x14ac:dyDescent="0.2">
      <c r="B17" s="35"/>
      <c r="C17" s="35" t="s">
        <v>31</v>
      </c>
      <c r="E17" s="34"/>
      <c r="G17" s="2">
        <v>0</v>
      </c>
      <c r="I17" s="33" t="s">
        <v>66</v>
      </c>
      <c r="K17"/>
    </row>
    <row r="18" spans="1:11" ht="15" customHeight="1" x14ac:dyDescent="0.2">
      <c r="B18" s="35"/>
      <c r="C18" s="35" t="s">
        <v>28</v>
      </c>
      <c r="D18" s="36" t="s">
        <v>2</v>
      </c>
      <c r="E18" s="37">
        <v>450000</v>
      </c>
      <c r="F18" s="38"/>
      <c r="G18" s="39">
        <f>SUM(G16:G17)</f>
        <v>384069.78</v>
      </c>
      <c r="H18" s="23"/>
      <c r="I18" s="40"/>
      <c r="K18"/>
    </row>
    <row r="19" spans="1:11" ht="15" customHeight="1" x14ac:dyDescent="0.2">
      <c r="B19" s="35"/>
      <c r="C19" s="35" t="s">
        <v>26</v>
      </c>
      <c r="D19" s="36"/>
      <c r="E19" s="37"/>
      <c r="F19" s="38"/>
      <c r="G19" s="2">
        <v>230441.87</v>
      </c>
      <c r="H19" s="23"/>
      <c r="I19" s="33" t="s">
        <v>67</v>
      </c>
      <c r="K19"/>
    </row>
    <row r="20" spans="1:11" ht="15" customHeight="1" x14ac:dyDescent="0.2">
      <c r="B20" s="35"/>
      <c r="C20" s="35" t="s">
        <v>20</v>
      </c>
      <c r="D20" s="36"/>
      <c r="E20" s="37"/>
      <c r="F20" s="38"/>
      <c r="G20" s="39">
        <f>G18-G19</f>
        <v>153627.91000000003</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5120.9303333333346</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3072.5582000000009</v>
      </c>
      <c r="I24" s="40"/>
      <c r="K24"/>
    </row>
    <row r="25" spans="1:11" ht="15" customHeight="1" x14ac:dyDescent="0.2">
      <c r="B25" s="35"/>
      <c r="C25" s="35" t="s">
        <v>5</v>
      </c>
      <c r="D25" s="36" t="s">
        <v>14</v>
      </c>
      <c r="E25" s="48">
        <v>10080</v>
      </c>
      <c r="F25" s="38"/>
      <c r="G25" s="49">
        <f>G18*$G$10</f>
        <v>5761.0466999999999</v>
      </c>
      <c r="I25" s="40"/>
      <c r="K25"/>
    </row>
    <row r="26" spans="1:11" ht="15" customHeight="1" x14ac:dyDescent="0.2">
      <c r="B26" s="35"/>
      <c r="C26" s="35" t="s">
        <v>18</v>
      </c>
      <c r="D26" s="36" t="s">
        <v>12</v>
      </c>
      <c r="E26" s="48">
        <v>225</v>
      </c>
      <c r="F26" s="38"/>
      <c r="G26" s="49">
        <f>G18/G21*$G$11</f>
        <v>51.209304000000003</v>
      </c>
      <c r="I26" s="40"/>
      <c r="K26"/>
    </row>
    <row r="27" spans="1:11" ht="13.5" thickBot="1" x14ac:dyDescent="0.25">
      <c r="B27" s="35"/>
      <c r="C27" s="50" t="s">
        <v>0</v>
      </c>
      <c r="D27" s="51"/>
      <c r="E27" s="50">
        <f>E22+E24+E25+E26</f>
        <v>47805</v>
      </c>
      <c r="F27" s="38"/>
      <c r="G27" s="50">
        <f>G22+G24+G25+G26</f>
        <v>14005.744537333336</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68</v>
      </c>
      <c r="K32"/>
    </row>
    <row r="33" spans="2:11" ht="12.95" customHeight="1" x14ac:dyDescent="0.2">
      <c r="D33" s="14"/>
      <c r="F33" s="38"/>
      <c r="I33" s="40"/>
      <c r="K33"/>
    </row>
    <row r="34" spans="2:11" ht="12.95" customHeight="1" thickBot="1" x14ac:dyDescent="0.25">
      <c r="B34" s="52" t="s">
        <v>41</v>
      </c>
      <c r="C34" s="52"/>
      <c r="D34" s="14"/>
      <c r="F34" s="38"/>
      <c r="G34" s="53">
        <f>SUM(G32+G27)</f>
        <v>14005.744537333336</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69</v>
      </c>
      <c r="K37"/>
    </row>
    <row r="38" spans="2:11" ht="12" customHeight="1" x14ac:dyDescent="0.2">
      <c r="B38" s="55"/>
      <c r="C38" s="55" t="s">
        <v>51</v>
      </c>
      <c r="D38" s="56"/>
      <c r="E38" s="57"/>
      <c r="F38" s="38"/>
      <c r="G38" s="5">
        <v>0</v>
      </c>
      <c r="I38" s="33" t="s">
        <v>70</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88</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7002.8722686666679</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583.57268905555566</v>
      </c>
      <c r="I50" s="40"/>
      <c r="K50"/>
    </row>
    <row r="51" spans="1:11" ht="12.95" customHeight="1" x14ac:dyDescent="0.2">
      <c r="B51" s="67"/>
      <c r="C51" s="68" t="s">
        <v>22</v>
      </c>
      <c r="D51" s="69"/>
      <c r="E51" s="70"/>
      <c r="F51" s="71"/>
      <c r="G51">
        <f>G12</f>
        <v>3590</v>
      </c>
      <c r="I51" s="40"/>
      <c r="K51"/>
    </row>
    <row r="52" spans="1:11" ht="17.100000000000001" customHeight="1" x14ac:dyDescent="0.25">
      <c r="B52" s="64"/>
      <c r="C52" s="65" t="s">
        <v>30</v>
      </c>
      <c r="D52" s="62"/>
      <c r="E52" s="63"/>
      <c r="F52" s="38"/>
      <c r="G52" s="72">
        <f>IF(G41=0,(G50/G51), "(im LWL-Preis enthalten)")</f>
        <v>0.16255506658929128</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3"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U124"/>
  <sheetViews>
    <sheetView topLeftCell="A58" zoomScaleNormal="100" zoomScalePageLayoutView="55" workbookViewId="0">
      <selection activeCell="G91" sqref="G91"/>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80</v>
      </c>
      <c r="D4"/>
      <c r="F4" s="25" t="s">
        <v>19</v>
      </c>
      <c r="G4" s="26"/>
      <c r="I4"/>
      <c r="K4"/>
    </row>
    <row r="5" spans="1:21" ht="147" customHeight="1" x14ac:dyDescent="0.2">
      <c r="B5" s="22"/>
      <c r="C5" s="209" t="s">
        <v>62</v>
      </c>
      <c r="D5" s="209"/>
      <c r="E5" s="209"/>
      <c r="F5" s="209"/>
      <c r="G5" s="209"/>
      <c r="H5" s="209"/>
      <c r="I5" s="209"/>
      <c r="K5"/>
      <c r="L5" s="23"/>
    </row>
    <row r="6" spans="1:21" ht="39" customHeight="1" x14ac:dyDescent="0.2">
      <c r="B6" s="22"/>
      <c r="C6" s="210" t="s">
        <v>84</v>
      </c>
      <c r="D6" s="210"/>
      <c r="E6" s="210"/>
      <c r="F6" s="210"/>
      <c r="G6" s="210"/>
      <c r="I6"/>
      <c r="K6"/>
    </row>
    <row r="7" spans="1:21" x14ac:dyDescent="0.2">
      <c r="A7" s="27" t="s">
        <v>42</v>
      </c>
      <c r="D7" s="28" t="s">
        <v>4</v>
      </c>
      <c r="I7"/>
      <c r="K7"/>
    </row>
    <row r="8" spans="1:21" x14ac:dyDescent="0.2">
      <c r="A8" s="22"/>
      <c r="I8" s="29" t="s">
        <v>63</v>
      </c>
      <c r="K8"/>
    </row>
    <row r="9" spans="1:21" x14ac:dyDescent="0.2">
      <c r="B9" s="97"/>
      <c r="C9" s="98" t="s">
        <v>23</v>
      </c>
      <c r="D9" s="31"/>
      <c r="E9" s="30"/>
      <c r="F9" s="32"/>
      <c r="G9" s="7">
        <f>'Kalkulation Leerrohr'!G9</f>
        <v>0.04</v>
      </c>
      <c r="I9" s="33" t="s">
        <v>85</v>
      </c>
      <c r="K9"/>
    </row>
    <row r="10" spans="1:21" x14ac:dyDescent="0.2">
      <c r="B10" s="97"/>
      <c r="C10" s="98" t="s">
        <v>16</v>
      </c>
      <c r="D10" s="31"/>
      <c r="E10" s="30"/>
      <c r="F10" s="32"/>
      <c r="G10" s="8">
        <f>'Kalkulation Leerrohr'!G10</f>
        <v>1.4999999999999999E-2</v>
      </c>
      <c r="I10" s="33" t="s">
        <v>85</v>
      </c>
      <c r="K10"/>
    </row>
    <row r="11" spans="1:21" x14ac:dyDescent="0.2">
      <c r="B11" s="97"/>
      <c r="C11" s="98" t="s">
        <v>25</v>
      </c>
      <c r="D11" s="31"/>
      <c r="E11" s="32"/>
      <c r="F11" s="32"/>
      <c r="G11" s="8">
        <f>'Kalkulation Leerrohr'!G11</f>
        <v>4.0000000000000001E-3</v>
      </c>
      <c r="I11" s="33" t="s">
        <v>85</v>
      </c>
      <c r="K11"/>
    </row>
    <row r="12" spans="1:21" ht="12.75" customHeight="1" x14ac:dyDescent="0.2">
      <c r="B12" s="97"/>
      <c r="C12" s="1" t="s">
        <v>87</v>
      </c>
      <c r="D12" s="31"/>
      <c r="E12" s="32"/>
      <c r="F12" s="32"/>
      <c r="G12" s="3">
        <f>'Kalkulation Leerrohr'!G12</f>
        <v>3590</v>
      </c>
      <c r="I12" s="213" t="s">
        <v>83</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v>384069.78</v>
      </c>
      <c r="I16" s="33" t="s">
        <v>65</v>
      </c>
      <c r="K16"/>
    </row>
    <row r="17" spans="1:11" x14ac:dyDescent="0.2">
      <c r="B17" s="100"/>
      <c r="C17" s="100" t="s">
        <v>31</v>
      </c>
      <c r="E17" s="34"/>
      <c r="G17" s="2">
        <f>'Kalkulation Leerrohr'!G17</f>
        <v>0</v>
      </c>
      <c r="I17" s="33" t="s">
        <v>66</v>
      </c>
      <c r="K17"/>
    </row>
    <row r="18" spans="1:11" ht="15" customHeight="1" x14ac:dyDescent="0.2">
      <c r="B18" s="100"/>
      <c r="C18" s="100" t="s">
        <v>28</v>
      </c>
      <c r="D18" s="36" t="s">
        <v>2</v>
      </c>
      <c r="E18" s="37">
        <v>450000</v>
      </c>
      <c r="F18" s="38"/>
      <c r="G18" s="130">
        <f>SUM(G16:G17)</f>
        <v>384069.78</v>
      </c>
      <c r="H18" s="23"/>
      <c r="I18" s="40"/>
      <c r="K18"/>
    </row>
    <row r="19" spans="1:11" ht="15" customHeight="1" x14ac:dyDescent="0.2">
      <c r="B19" s="100"/>
      <c r="C19" s="100" t="s">
        <v>26</v>
      </c>
      <c r="D19" s="36"/>
      <c r="E19" s="37"/>
      <c r="F19" s="38"/>
      <c r="G19" s="2">
        <v>230441.87</v>
      </c>
      <c r="H19" s="23"/>
      <c r="I19" s="33" t="s">
        <v>67</v>
      </c>
      <c r="K19"/>
    </row>
    <row r="20" spans="1:11" ht="15" customHeight="1" x14ac:dyDescent="0.2">
      <c r="B20" s="100"/>
      <c r="C20" s="100" t="s">
        <v>20</v>
      </c>
      <c r="D20" s="36"/>
      <c r="E20" s="37"/>
      <c r="F20" s="38"/>
      <c r="G20" s="130">
        <f>G18-G19</f>
        <v>153627.91000000003</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5120.9303333333346</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3072.5582000000009</v>
      </c>
      <c r="I24" s="40"/>
      <c r="K24"/>
    </row>
    <row r="25" spans="1:11" ht="15" customHeight="1" x14ac:dyDescent="0.2">
      <c r="B25" s="100"/>
      <c r="C25" s="100" t="s">
        <v>5</v>
      </c>
      <c r="D25" s="36" t="s">
        <v>14</v>
      </c>
      <c r="E25" s="48">
        <v>10080</v>
      </c>
      <c r="F25" s="38"/>
      <c r="G25" s="133">
        <f>G18*$G$10</f>
        <v>5761.0466999999999</v>
      </c>
      <c r="I25" s="40"/>
      <c r="K25"/>
    </row>
    <row r="26" spans="1:11" ht="15" customHeight="1" x14ac:dyDescent="0.2">
      <c r="B26" s="100"/>
      <c r="C26" s="100" t="s">
        <v>18</v>
      </c>
      <c r="D26" s="36" t="s">
        <v>12</v>
      </c>
      <c r="E26" s="48">
        <v>225</v>
      </c>
      <c r="F26" s="38"/>
      <c r="G26" s="133">
        <f>G18/G21*$G$11</f>
        <v>51.209304000000003</v>
      </c>
      <c r="I26" s="40"/>
      <c r="K26"/>
    </row>
    <row r="27" spans="1:11" ht="13.5" thickBot="1" x14ac:dyDescent="0.25">
      <c r="B27" s="100"/>
      <c r="C27" s="102" t="s">
        <v>0</v>
      </c>
      <c r="D27" s="51"/>
      <c r="E27" s="50">
        <f>E22+E24+E25+E26</f>
        <v>47805</v>
      </c>
      <c r="F27" s="38"/>
      <c r="G27" s="102">
        <f>G22+G24+G25+G26</f>
        <v>14005.744537333336</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68</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14005.744537333336</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69</v>
      </c>
      <c r="K37"/>
    </row>
    <row r="38" spans="1:11" ht="12" customHeight="1" x14ac:dyDescent="0.2">
      <c r="A38" s="99"/>
      <c r="B38" s="106"/>
      <c r="C38" s="106" t="s">
        <v>51</v>
      </c>
      <c r="D38" s="113"/>
      <c r="E38" s="114"/>
      <c r="F38" s="110"/>
      <c r="G38" s="5">
        <f>'Kalkulation Leerrohr'!G38</f>
        <v>0</v>
      </c>
      <c r="I38" s="33" t="s">
        <v>70</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89</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14005.744537333336</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3590</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33310.5</v>
      </c>
      <c r="I58" s="33" t="s">
        <v>65</v>
      </c>
      <c r="K58"/>
    </row>
    <row r="59" spans="1:11" ht="15" customHeight="1" x14ac:dyDescent="0.2">
      <c r="B59" s="76"/>
      <c r="C59" s="35" t="s">
        <v>37</v>
      </c>
      <c r="D59" s="36"/>
      <c r="E59" s="37"/>
      <c r="F59" s="38"/>
      <c r="G59" s="2" t="s">
        <v>61</v>
      </c>
      <c r="I59" s="33" t="s">
        <v>66</v>
      </c>
      <c r="K59"/>
    </row>
    <row r="60" spans="1:11" ht="15" customHeight="1" x14ac:dyDescent="0.2">
      <c r="B60" s="76"/>
      <c r="C60" s="35" t="s">
        <v>38</v>
      </c>
      <c r="D60" s="36"/>
      <c r="E60" s="37"/>
      <c r="F60" s="38"/>
      <c r="G60" s="39">
        <f>SUM(G58:G59)</f>
        <v>33310.5</v>
      </c>
      <c r="I60" s="40"/>
      <c r="K60"/>
    </row>
    <row r="61" spans="1:11" ht="15" customHeight="1" x14ac:dyDescent="0.2">
      <c r="B61" s="76"/>
      <c r="C61" s="35" t="s">
        <v>26</v>
      </c>
      <c r="D61" s="36"/>
      <c r="E61" s="37"/>
      <c r="F61" s="38"/>
      <c r="G61" s="2">
        <v>19986.3</v>
      </c>
      <c r="I61" s="33" t="s">
        <v>67</v>
      </c>
      <c r="K61"/>
    </row>
    <row r="62" spans="1:11" ht="15" customHeight="1" x14ac:dyDescent="0.2">
      <c r="B62" s="76"/>
      <c r="C62" s="35" t="s">
        <v>21</v>
      </c>
      <c r="D62" s="36"/>
      <c r="E62" s="35"/>
      <c r="F62" s="38"/>
      <c r="G62" s="39">
        <f>G60-G61</f>
        <v>13324.2</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666.21</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266.48400000000004</v>
      </c>
      <c r="I66" s="40"/>
      <c r="K66"/>
    </row>
    <row r="67" spans="1:11" ht="15" customHeight="1" x14ac:dyDescent="0.2">
      <c r="B67" s="76"/>
      <c r="C67" s="35" t="s">
        <v>5</v>
      </c>
      <c r="D67" s="36"/>
      <c r="E67" s="48">
        <v>280</v>
      </c>
      <c r="F67" s="38"/>
      <c r="G67" s="49">
        <f>G58*$G$10</f>
        <v>499.65749999999997</v>
      </c>
      <c r="I67" s="40"/>
      <c r="K67"/>
    </row>
    <row r="68" spans="1:11" ht="13.5" thickBot="1" x14ac:dyDescent="0.25">
      <c r="B68" s="76"/>
      <c r="C68" s="50" t="s">
        <v>0</v>
      </c>
      <c r="D68" s="51"/>
      <c r="E68" s="50">
        <f>E64+E66+E67</f>
        <v>1530</v>
      </c>
      <c r="F68" s="38"/>
      <c r="G68" s="50">
        <f>G64+G66+G67</f>
        <v>1432.3515</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1432.3515</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15438.096037333336</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4</v>
      </c>
      <c r="I79" s="33" t="s">
        <v>71</v>
      </c>
    </row>
    <row r="80" spans="1:11" x14ac:dyDescent="0.2">
      <c r="B80" s="55"/>
      <c r="C80" s="55" t="s">
        <v>56</v>
      </c>
      <c r="D80" s="56"/>
      <c r="E80" s="57">
        <v>12</v>
      </c>
      <c r="F80" s="38"/>
      <c r="G80" s="5">
        <v>0</v>
      </c>
      <c r="I80" s="33" t="s">
        <v>72</v>
      </c>
    </row>
    <row r="81" spans="1:11" x14ac:dyDescent="0.2">
      <c r="B81" s="55"/>
      <c r="C81" s="55" t="s">
        <v>57</v>
      </c>
      <c r="D81" s="56"/>
      <c r="E81" s="57">
        <v>2</v>
      </c>
      <c r="F81" s="38"/>
      <c r="G81" s="58">
        <v>2</v>
      </c>
      <c r="I81" s="40"/>
      <c r="K81"/>
    </row>
    <row r="82" spans="1:11" x14ac:dyDescent="0.2">
      <c r="B82" s="55"/>
      <c r="C82" s="59" t="s">
        <v>58</v>
      </c>
      <c r="D82" s="56"/>
      <c r="E82" s="57"/>
      <c r="F82" s="38"/>
      <c r="G82" s="81">
        <f>SUM(G79:G81)</f>
        <v>6</v>
      </c>
      <c r="I82" s="33" t="s">
        <v>82</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2573.0160062222226</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214.41800051851854</v>
      </c>
      <c r="H88" s="27"/>
      <c r="I88"/>
      <c r="J88" s="27"/>
    </row>
    <row r="89" spans="1:11" x14ac:dyDescent="0.2">
      <c r="A89" s="22"/>
      <c r="B89" s="67"/>
      <c r="C89" s="68" t="s">
        <v>22</v>
      </c>
      <c r="D89" s="87"/>
      <c r="E89" s="88"/>
      <c r="F89" s="67"/>
      <c r="G89" s="89">
        <f>G12</f>
        <v>3590</v>
      </c>
      <c r="I89"/>
      <c r="K89"/>
    </row>
    <row r="90" spans="1:11" x14ac:dyDescent="0.2">
      <c r="B90" s="90"/>
      <c r="C90" s="68" t="s">
        <v>59</v>
      </c>
      <c r="D90" s="91"/>
      <c r="E90" s="67"/>
      <c r="F90" s="71"/>
      <c r="G90" s="92">
        <f>IF($G$41=0,"Kein LWL nachgefragt",(G88/G89))</f>
        <v>5.9726462539977307E-2</v>
      </c>
      <c r="I90"/>
    </row>
    <row r="91" spans="1:11" ht="15.75" x14ac:dyDescent="0.25">
      <c r="B91" s="64"/>
      <c r="C91" s="82" t="s">
        <v>60</v>
      </c>
      <c r="D91" s="83"/>
      <c r="E91" s="84"/>
      <c r="F91" s="85"/>
      <c r="G91" s="72">
        <f>IF($G$41=0,"Kein LWL nachgefragt",G90*G81)</f>
        <v>0.11945292507995461</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1 G17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L16"/>
  <sheetViews>
    <sheetView topLeftCell="A4" zoomScaleNormal="100" zoomScalePageLayoutView="57" workbookViewId="0">
      <selection activeCell="G25" sqref="G25"/>
    </sheetView>
  </sheetViews>
  <sheetFormatPr baseColWidth="10" defaultColWidth="11.42578125"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81</v>
      </c>
      <c r="F4" s="25" t="s">
        <v>19</v>
      </c>
      <c r="G4" s="26"/>
    </row>
    <row r="5" spans="1:12" ht="38.25" customHeight="1" x14ac:dyDescent="0.2">
      <c r="B5" s="22"/>
      <c r="C5" s="209" t="s">
        <v>78</v>
      </c>
      <c r="D5" s="209"/>
      <c r="E5" s="209"/>
      <c r="F5" s="209"/>
      <c r="G5" s="209"/>
      <c r="H5" s="209"/>
      <c r="I5" s="209"/>
      <c r="L5" s="23"/>
    </row>
    <row r="6" spans="1:12" ht="39.75" customHeight="1" x14ac:dyDescent="0.2">
      <c r="B6" s="22"/>
      <c r="C6" s="210" t="s">
        <v>73</v>
      </c>
      <c r="D6" s="210"/>
      <c r="E6" s="210"/>
      <c r="F6" s="210"/>
      <c r="G6" s="210"/>
    </row>
    <row r="7" spans="1:12" ht="25.5" x14ac:dyDescent="0.2">
      <c r="A7" s="27" t="s">
        <v>42</v>
      </c>
      <c r="D7" s="28" t="s">
        <v>4</v>
      </c>
      <c r="H7" s="40"/>
    </row>
    <row r="8" spans="1:12" x14ac:dyDescent="0.2">
      <c r="A8" s="22"/>
      <c r="D8" s="23"/>
      <c r="I8" s="29" t="s">
        <v>63</v>
      </c>
    </row>
    <row r="9" spans="1:12" x14ac:dyDescent="0.2">
      <c r="B9" s="30"/>
      <c r="C9" s="1" t="s">
        <v>74</v>
      </c>
      <c r="D9" s="31"/>
      <c r="E9" s="30"/>
      <c r="F9" s="32"/>
      <c r="G9" s="9"/>
      <c r="I9" s="33"/>
    </row>
    <row r="10" spans="1:12" ht="38.25" x14ac:dyDescent="0.2">
      <c r="B10" s="30"/>
      <c r="C10" s="1" t="s">
        <v>90</v>
      </c>
      <c r="D10" s="31"/>
      <c r="E10" s="30"/>
      <c r="F10" s="32"/>
      <c r="G10" s="10">
        <v>8.9</v>
      </c>
      <c r="I10" s="33"/>
    </row>
    <row r="11" spans="1:12" x14ac:dyDescent="0.2">
      <c r="B11" s="30"/>
      <c r="C11" s="1" t="s">
        <v>75</v>
      </c>
      <c r="D11" s="31"/>
      <c r="E11" s="32"/>
      <c r="F11" s="32"/>
      <c r="G11" s="11">
        <v>11.5</v>
      </c>
      <c r="I11" s="33"/>
    </row>
    <row r="12" spans="1:12" x14ac:dyDescent="0.2">
      <c r="H12" s="33"/>
    </row>
    <row r="13" spans="1:12" x14ac:dyDescent="0.2">
      <c r="A13" s="22" t="s">
        <v>76</v>
      </c>
      <c r="D13" s="23"/>
      <c r="E13" s="34"/>
      <c r="H13" s="33"/>
    </row>
    <row r="14" spans="1:12" x14ac:dyDescent="0.2">
      <c r="D14" s="23"/>
      <c r="E14" s="34"/>
      <c r="H14" s="33"/>
    </row>
    <row r="15" spans="1:12" ht="13.5" thickBot="1" x14ac:dyDescent="0.25">
      <c r="B15" s="35"/>
      <c r="C15" s="50" t="s">
        <v>77</v>
      </c>
      <c r="D15" s="51"/>
      <c r="E15" s="50" t="e">
        <f>#REF!+#REF!+#REF!+#REF!</f>
        <v>#REF!</v>
      </c>
      <c r="F15" s="38"/>
      <c r="G15" s="50">
        <f>G10*G11</f>
        <v>102.35000000000001</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P173"/>
  <sheetViews>
    <sheetView workbookViewId="0">
      <selection activeCell="F3" sqref="F3"/>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91</v>
      </c>
      <c r="E1" s="25"/>
      <c r="F1" s="134"/>
      <c r="J1" s="29" t="s">
        <v>63</v>
      </c>
      <c r="K1"/>
    </row>
    <row r="2" spans="1:11" ht="27.75" customHeight="1" x14ac:dyDescent="0.25">
      <c r="B2" s="24"/>
      <c r="E2" s="25"/>
      <c r="F2" s="134"/>
      <c r="K2"/>
    </row>
    <row r="3" spans="1:11" ht="27.75" customHeight="1" x14ac:dyDescent="0.25">
      <c r="B3" s="24"/>
      <c r="C3" s="216" t="s">
        <v>92</v>
      </c>
      <c r="D3" s="216"/>
      <c r="E3" s="25"/>
      <c r="F3" s="138">
        <v>0</v>
      </c>
      <c r="I3" s="137" t="str">
        <f>"mindestens "&amp;F15*F3&amp;" Haushalte sollen (zukünftig) aufgrund der geplanten Take Up Rate mit Diensten versorgt werden."</f>
        <v>mindestens 0 Haushalte sollen (zukünftig) aufgrund der geplanten Take Up Rate mit Diensten versorgt werden.</v>
      </c>
      <c r="K3"/>
    </row>
    <row r="4" spans="1:11" ht="18" customHeight="1" x14ac:dyDescent="0.25">
      <c r="B4" s="24"/>
      <c r="E4" s="25"/>
      <c r="F4" s="134"/>
      <c r="K4"/>
    </row>
    <row r="5" spans="1:11" ht="18" customHeight="1" x14ac:dyDescent="0.2">
      <c r="A5" s="139" t="s">
        <v>93</v>
      </c>
      <c r="B5" s="140"/>
      <c r="C5" s="141"/>
      <c r="E5" s="25"/>
      <c r="F5" s="134"/>
      <c r="K5"/>
    </row>
    <row r="6" spans="1:11" ht="17.100000000000001" customHeight="1" x14ac:dyDescent="0.2">
      <c r="A6" s="140"/>
      <c r="B6" s="14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row>
    <row r="8" spans="1:11" ht="17.100000000000001" customHeight="1" x14ac:dyDescent="0.2">
      <c r="A8" s="143" t="s">
        <v>94</v>
      </c>
      <c r="C8" s="144"/>
      <c r="D8" s="28" t="s">
        <v>4</v>
      </c>
      <c r="E8" s="25"/>
      <c r="F8" s="134"/>
      <c r="G8" s="135" t="s">
        <v>95</v>
      </c>
      <c r="I8" s="145" t="s">
        <v>96</v>
      </c>
      <c r="K8"/>
    </row>
    <row r="9" spans="1:11" ht="17.100000000000001" customHeight="1" x14ac:dyDescent="0.2">
      <c r="A9" s="143"/>
      <c r="C9" s="144"/>
      <c r="E9" s="25"/>
      <c r="F9" s="134"/>
      <c r="I9" s="146"/>
      <c r="K9"/>
    </row>
    <row r="10" spans="1:11" ht="17.100000000000001" customHeight="1" x14ac:dyDescent="0.2">
      <c r="A10" s="22"/>
      <c r="B10" s="147" t="s">
        <v>97</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98</v>
      </c>
      <c r="D12" s="149" t="s">
        <v>99</v>
      </c>
      <c r="E12" s="25"/>
      <c r="F12" s="150">
        <v>0</v>
      </c>
      <c r="G12" s="135" t="s">
        <v>100</v>
      </c>
      <c r="I12" s="151" t="str">
        <f>IF(F12&gt;0,"ok","Angabe fehlt!")</f>
        <v>Angabe fehlt!</v>
      </c>
      <c r="K12"/>
    </row>
    <row r="13" spans="1:11" ht="51" x14ac:dyDescent="0.2">
      <c r="B13" s="55"/>
      <c r="C13" s="148" t="s">
        <v>101</v>
      </c>
      <c r="D13" s="149" t="s">
        <v>165</v>
      </c>
      <c r="E13" s="25"/>
      <c r="F13" s="150">
        <v>0</v>
      </c>
      <c r="G13" s="135" t="s">
        <v>100</v>
      </c>
      <c r="I13" s="151" t="str">
        <f>IF(F13&gt;0,IF(F13&lt;$F$12,"Grabung ohne Leerverrohrung?","durchschnittlich "&amp;ROUND(F13/F12,2)&amp;" Rohre pro Grabungsmeter, davon bereits belegt "&amp;(F18+F23)&amp;"m"),"Angabe fehlt!")</f>
        <v>Angabe fehlt!</v>
      </c>
      <c r="K13"/>
    </row>
    <row r="14" spans="1:11" ht="51" x14ac:dyDescent="0.2">
      <c r="B14" s="55"/>
      <c r="C14" s="148" t="s">
        <v>102</v>
      </c>
      <c r="D14" s="149" t="s">
        <v>166</v>
      </c>
      <c r="E14" s="25"/>
      <c r="F14" s="150">
        <v>0</v>
      </c>
      <c r="G14" s="135" t="s">
        <v>100</v>
      </c>
      <c r="I14" s="151" t="str">
        <f>IF(F14&gt;0,IF(F14&lt;F13,"Leerverrohrung ohne Glasfaser?","durchschnittlich "&amp;ROUND(F14/$F$12,2)&amp;" Fasern pro Grabungsmeter, davon bereits genutzt (aktiv od. Reserve) "&amp;(F19+F24)&amp;"m"),"Angabe fehlt!")</f>
        <v>Angabe fehlt!</v>
      </c>
      <c r="K14"/>
    </row>
    <row r="15" spans="1:11" ht="38.25" x14ac:dyDescent="0.2">
      <c r="B15" s="55"/>
      <c r="C15" s="148" t="s">
        <v>103</v>
      </c>
      <c r="D15" s="149" t="s">
        <v>104</v>
      </c>
      <c r="E15" s="25"/>
      <c r="F15" s="150">
        <v>0</v>
      </c>
      <c r="G15" s="135" t="s">
        <v>105</v>
      </c>
      <c r="I15" s="151" t="str">
        <f>IF(F15&gt;0,"durchschnittlich "&amp;ROUND($F$12/F15,2)&amp;"m Graben pro erreichtem Haushalt. Anzahl bereits versorgter Haushalte: "&amp;(F20+F25+F26)&amp;" = "&amp;ROUND((F20+F25+F26)/F15*100,2)&amp;"%."&amp;" Anzahl geplante Anschlüsse: "&amp;ROUNDDOWN(F15*F3,0),"Angabe fehlt!")</f>
        <v>Angabe fehlt!</v>
      </c>
      <c r="K15"/>
    </row>
    <row r="16" spans="1:11" x14ac:dyDescent="0.2">
      <c r="B16" s="136"/>
      <c r="C16" s="27"/>
      <c r="E16" s="27"/>
      <c r="F16" s="23"/>
      <c r="I16" s="151"/>
      <c r="K16"/>
    </row>
    <row r="17" spans="1:11" x14ac:dyDescent="0.2">
      <c r="B17" s="147" t="s">
        <v>106</v>
      </c>
      <c r="C17" s="27"/>
      <c r="E17" s="27"/>
      <c r="F17" s="23"/>
      <c r="I17" s="151"/>
      <c r="K17"/>
    </row>
    <row r="18" spans="1:11" ht="38.25" x14ac:dyDescent="0.2">
      <c r="B18" s="55"/>
      <c r="C18" s="148" t="s">
        <v>107</v>
      </c>
      <c r="D18" s="149" t="s">
        <v>167</v>
      </c>
      <c r="E18" s="25"/>
      <c r="F18" s="150">
        <v>0</v>
      </c>
      <c r="G18" s="135" t="s">
        <v>100</v>
      </c>
      <c r="I18" s="151" t="str">
        <f>IF(F18&gt;0,"Eigennutzung "&amp;ROUND(F18/F13*100,2)&amp;" %","Angabe fehlt!")</f>
        <v>Angabe fehlt!</v>
      </c>
      <c r="K18"/>
    </row>
    <row r="19" spans="1:11" ht="51" x14ac:dyDescent="0.2">
      <c r="B19" s="55"/>
      <c r="C19" s="148" t="s">
        <v>108</v>
      </c>
      <c r="D19" s="149" t="s">
        <v>168</v>
      </c>
      <c r="E19" s="25"/>
      <c r="F19" s="150">
        <v>0</v>
      </c>
      <c r="G19" s="135" t="s">
        <v>100</v>
      </c>
      <c r="I19" s="151" t="str">
        <f>IF(F19&gt;0,"Eigennutzung "&amp;ROUND(F19/$F$14*100,2)&amp;" %","Angabe fehlt!")</f>
        <v>Angabe fehlt!</v>
      </c>
      <c r="K19"/>
    </row>
    <row r="20" spans="1:11" ht="38.25" x14ac:dyDescent="0.2">
      <c r="B20" s="55"/>
      <c r="C20" s="148" t="s">
        <v>109</v>
      </c>
      <c r="D20" s="149" t="s">
        <v>110</v>
      </c>
      <c r="E20" s="25"/>
      <c r="F20" s="150">
        <v>0</v>
      </c>
      <c r="G20" s="135" t="s">
        <v>105</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111</v>
      </c>
      <c r="C22" s="27"/>
      <c r="E22" s="27"/>
      <c r="F22" s="23"/>
      <c r="I22" s="151"/>
      <c r="K22"/>
    </row>
    <row r="23" spans="1:11" ht="25.5" x14ac:dyDescent="0.2">
      <c r="B23" s="55"/>
      <c r="C23" s="148" t="s">
        <v>112</v>
      </c>
      <c r="D23" s="149" t="s">
        <v>113</v>
      </c>
      <c r="E23" s="25"/>
      <c r="F23" s="150">
        <v>0</v>
      </c>
      <c r="G23" s="135" t="s">
        <v>100</v>
      </c>
      <c r="I23" s="151" t="str">
        <f t="shared" ref="I23:I24" si="0">IF(F23&gt;0,"ok","keine bestehende Mitbenutzung?")</f>
        <v>keine bestehende Mitbenutzung?</v>
      </c>
      <c r="K23"/>
    </row>
    <row r="24" spans="1:11" ht="25.5" x14ac:dyDescent="0.2">
      <c r="B24" s="55"/>
      <c r="C24" s="148" t="s">
        <v>114</v>
      </c>
      <c r="D24" s="149" t="s">
        <v>115</v>
      </c>
      <c r="E24" s="25"/>
      <c r="F24" s="150">
        <v>0</v>
      </c>
      <c r="G24" s="135" t="s">
        <v>100</v>
      </c>
      <c r="I24" s="151" t="str">
        <f t="shared" si="0"/>
        <v>keine bestehende Mitbenutzung?</v>
      </c>
      <c r="K24"/>
    </row>
    <row r="25" spans="1:11" ht="25.5" hidden="1" x14ac:dyDescent="0.2">
      <c r="B25" s="55"/>
      <c r="C25" s="148" t="s">
        <v>169</v>
      </c>
      <c r="D25" s="149" t="s">
        <v>119</v>
      </c>
      <c r="E25" s="25"/>
      <c r="F25" s="150">
        <v>0</v>
      </c>
      <c r="G25" s="135" t="s">
        <v>105</v>
      </c>
      <c r="I25" s="151" t="str">
        <f>IF(F25&gt;0,"ok","keine bestehende Mitbenutzung?")</f>
        <v>keine bestehende Mitbenutzung?</v>
      </c>
      <c r="K25"/>
    </row>
    <row r="26" spans="1:11" ht="25.5" hidden="1" x14ac:dyDescent="0.2">
      <c r="B26" s="55"/>
      <c r="C26" s="148" t="s">
        <v>170</v>
      </c>
      <c r="D26" s="149" t="s">
        <v>119</v>
      </c>
      <c r="E26" s="25"/>
      <c r="F26" s="150">
        <v>0</v>
      </c>
      <c r="G26" s="135" t="s">
        <v>105</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116</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117</v>
      </c>
      <c r="C31" s="154"/>
      <c r="D31" s="155"/>
      <c r="E31" s="25"/>
      <c r="F31" s="156" t="s">
        <v>171</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118</v>
      </c>
      <c r="D32" s="159" t="s">
        <v>119</v>
      </c>
      <c r="E32" s="25"/>
      <c r="F32" s="160">
        <v>0</v>
      </c>
      <c r="G32" s="135" t="s">
        <v>105</v>
      </c>
      <c r="I32" s="151" t="str">
        <f>IF($F$33="Ja",IF(F32&gt;0,"ok","Angabe fehlt!"),"keine Angabe erforderlich")</f>
        <v>keine Angabe erforderlich</v>
      </c>
      <c r="K32"/>
    </row>
    <row r="33" spans="1:16" ht="17.100000000000001" customHeight="1" x14ac:dyDescent="0.2">
      <c r="B33" s="153" t="s">
        <v>120</v>
      </c>
      <c r="C33" s="154"/>
      <c r="D33" s="155"/>
      <c r="E33" s="25"/>
      <c r="F33" s="156" t="s">
        <v>172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118</v>
      </c>
      <c r="D34" s="159" t="s">
        <v>119</v>
      </c>
      <c r="E34" s="25"/>
      <c r="F34" s="160">
        <v>0</v>
      </c>
      <c r="G34" s="135" t="s">
        <v>105</v>
      </c>
      <c r="I34" s="151" t="str">
        <f>IF($F$33="Ja",IF(F34&gt;0,"ok","Angabe fehlt!"),"keine Angabe erforderlich")</f>
        <v>keine Angabe erforderlich</v>
      </c>
      <c r="K34"/>
    </row>
    <row r="35" spans="1:16" ht="17.100000000000001" customHeight="1" x14ac:dyDescent="0.2">
      <c r="B35" s="153" t="s">
        <v>121</v>
      </c>
      <c r="C35" s="154"/>
      <c r="D35" s="161"/>
      <c r="E35" s="25"/>
      <c r="F35" s="162" t="s">
        <v>172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122</v>
      </c>
      <c r="D36" s="159" t="s">
        <v>173</v>
      </c>
      <c r="E36" s="25"/>
      <c r="F36" s="160">
        <v>0</v>
      </c>
      <c r="G36" s="135" t="s">
        <v>100</v>
      </c>
      <c r="I36" s="151" t="str">
        <f>IF($F$35="Ja",IF(F36&gt;0,"ok","Angabe fehlt!"),"keine Angabe erforderlich")</f>
        <v>keine Angabe erforderlich</v>
      </c>
      <c r="K36"/>
    </row>
    <row r="37" spans="1:16" ht="17.100000000000001" customHeight="1" x14ac:dyDescent="0.2">
      <c r="B37" s="153" t="s">
        <v>123</v>
      </c>
      <c r="C37" s="154"/>
      <c r="D37" s="161"/>
      <c r="E37" s="25"/>
      <c r="F37" s="162" t="s">
        <v>172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124</v>
      </c>
      <c r="D38" s="159" t="s">
        <v>174</v>
      </c>
      <c r="E38" s="25"/>
      <c r="F38" s="164">
        <v>0</v>
      </c>
      <c r="G38" s="135" t="s">
        <v>100</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125</v>
      </c>
      <c r="F43" s="165">
        <v>0.04</v>
      </c>
      <c r="I43" s="151" t="str">
        <f>IF(OR(F43&lt;0,F43&gt;0.08,F43=""),"Wert zwischen 0% und 8% eintragen","ok")</f>
        <v>ok</v>
      </c>
      <c r="J43" s="170" t="s">
        <v>183</v>
      </c>
    </row>
    <row r="44" spans="1:16" x14ac:dyDescent="0.2">
      <c r="B44" s="55"/>
      <c r="C44" s="148" t="s">
        <v>16</v>
      </c>
      <c r="D44" s="149" t="s">
        <v>126</v>
      </c>
      <c r="F44" s="166">
        <v>2.5000000000000001E-2</v>
      </c>
      <c r="I44" s="151" t="str">
        <f>IF(OR(F44&lt;0,F44&gt;0.025,F44=""),"Wert zwischen 0% und 2,5% eintragen","ok")</f>
        <v>ok</v>
      </c>
      <c r="J44" s="170" t="s">
        <v>183</v>
      </c>
      <c r="N44" s="167"/>
      <c r="P44" s="168"/>
    </row>
    <row r="45" spans="1:16" x14ac:dyDescent="0.2">
      <c r="B45" s="55"/>
      <c r="C45" s="148" t="s">
        <v>25</v>
      </c>
      <c r="D45" s="149" t="s">
        <v>127</v>
      </c>
      <c r="F45" s="166">
        <v>1.4999999999999999E-2</v>
      </c>
      <c r="I45" s="151" t="str">
        <f>IF(OR(F45&lt;0,F45&gt;0.015,F45=""),"Wert zwischen 0% und 1,5% eintragen","ok")</f>
        <v>ok</v>
      </c>
      <c r="J45" s="170" t="s">
        <v>183</v>
      </c>
    </row>
    <row r="46" spans="1:16" x14ac:dyDescent="0.2">
      <c r="D46" s="169"/>
      <c r="I46" s="151"/>
      <c r="J46" s="170"/>
      <c r="K46"/>
    </row>
    <row r="47" spans="1:16" x14ac:dyDescent="0.2">
      <c r="A47" s="22" t="s">
        <v>128</v>
      </c>
      <c r="D47" s="170"/>
      <c r="I47" s="151"/>
      <c r="J47" s="170"/>
      <c r="K47"/>
    </row>
    <row r="48" spans="1:16" x14ac:dyDescent="0.2">
      <c r="D48" s="169"/>
      <c r="I48" s="151"/>
      <c r="J48" s="170"/>
      <c r="K48"/>
    </row>
    <row r="49" spans="1:11" x14ac:dyDescent="0.2">
      <c r="B49" s="35"/>
      <c r="C49" s="41" t="s">
        <v>27</v>
      </c>
      <c r="D49" s="51"/>
      <c r="F49" s="171">
        <v>0</v>
      </c>
      <c r="G49" s="135" t="s">
        <v>129</v>
      </c>
      <c r="I49" s="151" t="str">
        <f>IF(F49&lt;=0,"keine Angabe","entspricht "&amp;ROUND(F49/$F$15,2)&amp;" € pro erreichbarem Haushalt bzw. "&amp;ROUND(F49/($F$20+$F$25+$F$26),2)&amp;" € pro tatsächlich angeschlossenem Haushalt")</f>
        <v>keine Angabe</v>
      </c>
      <c r="J49" s="170" t="s">
        <v>179</v>
      </c>
      <c r="K49"/>
    </row>
    <row r="50" spans="1:11" x14ac:dyDescent="0.2">
      <c r="B50" s="35"/>
      <c r="C50" s="35" t="s">
        <v>31</v>
      </c>
      <c r="D50" s="51"/>
      <c r="F50" s="171">
        <v>0</v>
      </c>
      <c r="G50" s="135" t="s">
        <v>129</v>
      </c>
      <c r="I50" s="151" t="str">
        <f>IF(F50&lt;=0,"keine Angabe","entspricht "&amp;ROUND(F50/$F$15,2)&amp;" € pro erreichbarem Haushalt bzw. "&amp;ROUND(F50/($F$20+$F$25+$F$26),2)&amp;" € pro tatsächlich angeschlossenem Haushalt")</f>
        <v>keine Angabe</v>
      </c>
      <c r="J50" s="170" t="s">
        <v>66</v>
      </c>
      <c r="K50"/>
    </row>
    <row r="51" spans="1:11" x14ac:dyDescent="0.2">
      <c r="B51" s="35"/>
      <c r="C51" s="35" t="s">
        <v>28</v>
      </c>
      <c r="D51" s="51" t="s">
        <v>2</v>
      </c>
      <c r="E51" s="38"/>
      <c r="F51" s="172">
        <f>SUM(F49:F50)</f>
        <v>0</v>
      </c>
      <c r="G51" s="135" t="s">
        <v>129</v>
      </c>
      <c r="H51" s="173"/>
      <c r="I51" s="151" t="str">
        <f>IF(F51&lt;=0,"eine Angabe zu Investitionskosten fehlt!","entspricht "&amp;ROUND(F51/$F$15,2)&amp;" € pro erreichbarem Haushalt bzw. "&amp;ROUND(F51/($F$20+$F$25+$F$26),2)&amp;" € pro tatsächlich angeschlossenem Haushalt")</f>
        <v>eine Angabe zu Investitionskosten fehlt!</v>
      </c>
      <c r="J51" s="170"/>
      <c r="K51"/>
    </row>
    <row r="52" spans="1:11" ht="15" customHeight="1" x14ac:dyDescent="0.2">
      <c r="B52" s="35"/>
      <c r="C52" s="41" t="s">
        <v>26</v>
      </c>
      <c r="D52" s="51"/>
      <c r="E52" s="38"/>
      <c r="F52" s="171">
        <v>0</v>
      </c>
      <c r="G52" s="135" t="s">
        <v>129</v>
      </c>
      <c r="H52" s="173"/>
      <c r="I52" s="151" t="str">
        <f>IF(F52&lt;=0,"keine Angabe","Förderanteil "&amp;ROUND(F52/F49*100,2)&amp;" %")</f>
        <v>keine Angabe</v>
      </c>
      <c r="J52" s="170" t="s">
        <v>67</v>
      </c>
      <c r="K52"/>
    </row>
    <row r="53" spans="1:11" ht="15" customHeight="1" x14ac:dyDescent="0.2">
      <c r="B53" s="35"/>
      <c r="C53" s="35" t="s">
        <v>130</v>
      </c>
      <c r="D53" s="44" t="s">
        <v>8</v>
      </c>
      <c r="E53" s="38"/>
      <c r="F53" s="172">
        <f>F51-F52</f>
        <v>0</v>
      </c>
      <c r="G53" s="135" t="s">
        <v>129</v>
      </c>
      <c r="H53" s="173"/>
      <c r="I53" s="151"/>
      <c r="K53"/>
    </row>
    <row r="54" spans="1:11" x14ac:dyDescent="0.2">
      <c r="B54" s="35"/>
      <c r="C54" s="35" t="s">
        <v>6</v>
      </c>
      <c r="D54" s="51" t="s">
        <v>1</v>
      </c>
      <c r="E54" s="38"/>
      <c r="F54" s="174">
        <v>30</v>
      </c>
      <c r="G54" s="135" t="s">
        <v>131</v>
      </c>
      <c r="I54" s="151"/>
      <c r="J54" s="170"/>
      <c r="K54"/>
    </row>
    <row r="55" spans="1:11" x14ac:dyDescent="0.2">
      <c r="B55" s="35"/>
      <c r="C55" s="35" t="s">
        <v>132</v>
      </c>
      <c r="D55" s="44" t="s">
        <v>8</v>
      </c>
      <c r="E55" s="38"/>
      <c r="F55" s="175">
        <f>F53/F54</f>
        <v>0</v>
      </c>
      <c r="G55" s="135" t="s">
        <v>133</v>
      </c>
      <c r="I55" s="151"/>
      <c r="K55"/>
    </row>
    <row r="56" spans="1:11" ht="15" customHeight="1" x14ac:dyDescent="0.2">
      <c r="B56" s="35"/>
      <c r="C56" s="35" t="s">
        <v>134</v>
      </c>
      <c r="D56" s="44" t="s">
        <v>8</v>
      </c>
      <c r="E56" s="38"/>
      <c r="F56" s="175">
        <f>F53/2*$F$43</f>
        <v>0</v>
      </c>
      <c r="G56" s="135" t="s">
        <v>133</v>
      </c>
      <c r="I56" s="151"/>
      <c r="K56"/>
    </row>
    <row r="57" spans="1:11" x14ac:dyDescent="0.2">
      <c r="B57" s="35"/>
      <c r="C57" s="176" t="s">
        <v>5</v>
      </c>
      <c r="D57" s="44" t="s">
        <v>8</v>
      </c>
      <c r="E57" s="38"/>
      <c r="F57" s="175">
        <f>F51*$F$44</f>
        <v>0</v>
      </c>
      <c r="G57" s="135" t="s">
        <v>133</v>
      </c>
      <c r="I57" s="151"/>
      <c r="K57"/>
    </row>
    <row r="58" spans="1:11" ht="25.5" x14ac:dyDescent="0.2">
      <c r="B58" s="35"/>
      <c r="C58" s="176" t="s">
        <v>18</v>
      </c>
      <c r="D58" s="51" t="s">
        <v>135</v>
      </c>
      <c r="E58" s="38"/>
      <c r="F58" s="175">
        <f>F51/F54*$F$45</f>
        <v>0</v>
      </c>
      <c r="G58" s="135" t="s">
        <v>133</v>
      </c>
      <c r="I58" s="151"/>
      <c r="K58"/>
    </row>
    <row r="59" spans="1:11" ht="13.5" thickBot="1" x14ac:dyDescent="0.25">
      <c r="B59" s="35"/>
      <c r="C59" s="50" t="s">
        <v>0</v>
      </c>
      <c r="D59" s="50"/>
      <c r="E59" s="38"/>
      <c r="F59" s="177">
        <f>F55+F56+F57+F58</f>
        <v>0</v>
      </c>
      <c r="G59" s="135" t="s">
        <v>133</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175</v>
      </c>
      <c r="E64" s="45"/>
      <c r="F64" s="179">
        <v>0</v>
      </c>
      <c r="G64" s="135" t="s">
        <v>133</v>
      </c>
      <c r="I64" s="151" t="str">
        <f>IF(F64&gt;0,"gesonderte Nachweise sind zu erbringen!","")</f>
        <v/>
      </c>
      <c r="J64" s="170" t="s">
        <v>180</v>
      </c>
      <c r="K64"/>
    </row>
    <row r="65" spans="1:11" ht="13.15" customHeight="1" x14ac:dyDescent="0.2">
      <c r="D65" s="14"/>
      <c r="E65" s="38"/>
      <c r="I65" s="151"/>
      <c r="K65"/>
    </row>
    <row r="66" spans="1:11" ht="13.15" customHeight="1" thickBot="1" x14ac:dyDescent="0.25">
      <c r="B66" s="52" t="s">
        <v>136</v>
      </c>
      <c r="C66" s="52"/>
      <c r="D66" s="52"/>
      <c r="E66" s="38"/>
      <c r="F66" s="180">
        <f>SUM(F64+F59)</f>
        <v>0</v>
      </c>
      <c r="G66" s="135" t="s">
        <v>133</v>
      </c>
      <c r="I66" s="151"/>
      <c r="K66"/>
    </row>
    <row r="67" spans="1:11" ht="13.5" thickTop="1" x14ac:dyDescent="0.2">
      <c r="D67" s="14"/>
      <c r="E67" s="38"/>
      <c r="I67" s="151"/>
      <c r="K67"/>
    </row>
    <row r="68" spans="1:11" x14ac:dyDescent="0.2">
      <c r="A68" s="22" t="s">
        <v>137</v>
      </c>
      <c r="D68" s="14"/>
      <c r="E68" s="38"/>
      <c r="I68" s="151"/>
      <c r="K68"/>
    </row>
    <row r="69" spans="1:11" x14ac:dyDescent="0.2">
      <c r="A69" s="22"/>
      <c r="D69" s="14"/>
      <c r="E69" s="38"/>
      <c r="I69" s="151"/>
      <c r="K69"/>
    </row>
    <row r="70" spans="1:11" x14ac:dyDescent="0.2">
      <c r="B70" s="54" t="s">
        <v>138</v>
      </c>
      <c r="C70" s="55"/>
      <c r="D70" s="56"/>
      <c r="E70" s="38"/>
      <c r="F70" s="181"/>
      <c r="I70" s="151"/>
      <c r="K70"/>
    </row>
    <row r="71" spans="1:11" x14ac:dyDescent="0.2">
      <c r="B71" s="55"/>
      <c r="C71" s="55" t="s">
        <v>139</v>
      </c>
      <c r="D71" s="182" t="e">
        <f>ROUND($F$18/$D$74*100,2)&amp;" % von "&amp;ROUND($F$66,2)&amp;" € für "&amp;$F$18&amp;"m von "&amp;$D$74&amp;"m"</f>
        <v>#DIV/0!</v>
      </c>
      <c r="E71" s="38"/>
      <c r="F71" s="183" t="e">
        <f>$F$66*$F$18/$D$74</f>
        <v>#DIV/0!</v>
      </c>
      <c r="G71" s="135" t="s">
        <v>133</v>
      </c>
      <c r="I71" s="151" t="e">
        <f>IF(F71&gt;0,"entspricht € "&amp;ROUND(F71/$F$18/12,2)&amp;" pro Meter und Monat","")</f>
        <v>#DIV/0!</v>
      </c>
      <c r="K71"/>
    </row>
    <row r="72" spans="1:11" ht="12" customHeight="1" x14ac:dyDescent="0.2">
      <c r="B72" s="55"/>
      <c r="C72" s="55" t="s">
        <v>140</v>
      </c>
      <c r="D72" s="182" t="e">
        <f>ROUND($F$23/$D$74*100,2)&amp;" % von "&amp;ROUND($F$66,2)&amp;" € für "&amp;$F$23&amp;"m von "&amp;$D$74&amp;"m"</f>
        <v>#DIV/0!</v>
      </c>
      <c r="E72" s="38"/>
      <c r="F72" s="183" t="e">
        <f>$F$66*$F$23/$D$74</f>
        <v>#DIV/0!</v>
      </c>
      <c r="G72" s="135" t="s">
        <v>133</v>
      </c>
      <c r="I72" s="151" t="e">
        <f>IF(F72&gt;0,"entspricht € "&amp;ROUND(F72/$F$23/12,2)&amp;" pro Meter und Monat","")</f>
        <v>#DIV/0!</v>
      </c>
      <c r="K72"/>
    </row>
    <row r="73" spans="1:11" x14ac:dyDescent="0.2">
      <c r="B73" s="55"/>
      <c r="C73" s="184" t="s">
        <v>141</v>
      </c>
      <c r="D73" s="185" t="str">
        <f>IF($F$37="ja",ROUND($F$38/$D$74*100,2)&amp;" % von "&amp;ROUND($F$66,2)&amp;" € für "&amp;$F$38&amp;"m von "&amp;$D$74&amp;"m","")</f>
        <v/>
      </c>
      <c r="E73" s="38"/>
      <c r="F73" s="186">
        <f>IF($F$37="ja",$F$66*$F$38/$D$74,0)</f>
        <v>0</v>
      </c>
      <c r="G73" s="135" t="s">
        <v>133</v>
      </c>
      <c r="I73" s="151" t="str">
        <f>IF(F73&gt;0,"entspricht € "&amp;ROUND(F73/$F$38/12,2)&amp;" pro Meter und Monat","")</f>
        <v/>
      </c>
      <c r="K73"/>
    </row>
    <row r="74" spans="1:11" ht="13.5" thickBot="1" x14ac:dyDescent="0.25">
      <c r="B74" s="55"/>
      <c r="C74" s="187" t="s">
        <v>142</v>
      </c>
      <c r="D74" s="188">
        <f>IF($F$37="ja",$F$18+$F$23+$F$38,$F$18+$F$23)</f>
        <v>0</v>
      </c>
      <c r="E74" s="189"/>
      <c r="F74" s="190" t="e">
        <f>SUM(F71:F73)</f>
        <v>#DIV/0!</v>
      </c>
      <c r="G74" s="135" t="s">
        <v>133</v>
      </c>
      <c r="I74" s="151" t="e">
        <f>IF(F74&gt;0,"entspricht € "&amp;ROUND(F74/$D$74/12,2)&amp;" pro Meter und Monat","")</f>
        <v>#DIV/0!</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143</v>
      </c>
      <c r="D80" s="194" t="e">
        <f>ROUND($F$18/$D$74*100,2)&amp;" % von "&amp;ROUND($F$66,2)&amp;" € für "&amp;$F$18&amp;"m von "&amp;$D$74&amp;"m"</f>
        <v>#DIV/0!</v>
      </c>
      <c r="E80" s="38"/>
      <c r="F80" s="195" t="e">
        <f>F71</f>
        <v>#DIV/0!</v>
      </c>
      <c r="G80" s="135" t="s">
        <v>133</v>
      </c>
      <c r="I80" s="151"/>
      <c r="K80"/>
    </row>
    <row r="81" spans="1:11" x14ac:dyDescent="0.2">
      <c r="B81" s="76"/>
      <c r="C81" s="41" t="s">
        <v>36</v>
      </c>
      <c r="D81" s="51" t="s">
        <v>2</v>
      </c>
      <c r="E81" s="38"/>
      <c r="F81" s="171">
        <v>0</v>
      </c>
      <c r="G81" s="135" t="s">
        <v>129</v>
      </c>
      <c r="I81" s="151" t="str">
        <f>IF(F81&lt;=0,"keine Angabe","entspricht "&amp;ROUND(F81/$F$15,2)&amp;" € pro erreichbarem Haushalt bzw. "&amp;ROUND(F81/($F$20+$F$25+F26),2)&amp;" € pro tatsächlich angeschlossenem Haushalt")</f>
        <v>keine Angabe</v>
      </c>
      <c r="J81" s="170" t="s">
        <v>181</v>
      </c>
      <c r="K81"/>
    </row>
    <row r="82" spans="1:11" ht="15" customHeight="1" x14ac:dyDescent="0.2">
      <c r="B82" s="76"/>
      <c r="C82" s="35" t="s">
        <v>37</v>
      </c>
      <c r="D82" s="51"/>
      <c r="E82" s="38"/>
      <c r="F82" s="171">
        <v>0</v>
      </c>
      <c r="G82" s="135" t="s">
        <v>129</v>
      </c>
      <c r="I82" s="151" t="str">
        <f>IF(F82&lt;=0,"keine Angabe","entspricht "&amp;ROUND(F82/$F$15,2)&amp;" € pro erreichbarem Haushalt bzw. "&amp;ROUND(F82/($F$20+$F$25+$F$26),2)&amp;" € pro tatsächlich angeschlossenem Haushalt")</f>
        <v>keine Angabe</v>
      </c>
      <c r="J82" s="170" t="s">
        <v>66</v>
      </c>
      <c r="K82"/>
    </row>
    <row r="83" spans="1:11" x14ac:dyDescent="0.2">
      <c r="B83" s="76"/>
      <c r="C83" s="35" t="s">
        <v>38</v>
      </c>
      <c r="D83" s="51"/>
      <c r="E83" s="38"/>
      <c r="F83" s="172">
        <f>SUM(F81:F82)</f>
        <v>0</v>
      </c>
      <c r="G83" s="135" t="s">
        <v>129</v>
      </c>
      <c r="I83" s="151" t="str">
        <f>IF(F83&lt;=0,"eine Angabe zu Investitionskosten fehlt!","entspricht "&amp;ROUND(F83/$F$15,2)&amp;" € pro erreichbarem Haushalt bzw. "&amp;ROUND(F83/($F$20+$F$25+$F$26),2)&amp;" € pro tatsächlich angeschlossenem Haushalt")</f>
        <v>eine Angabe zu Investitionskosten fehlt!</v>
      </c>
      <c r="J83" s="170"/>
      <c r="K83"/>
    </row>
    <row r="84" spans="1:11" ht="15" customHeight="1" x14ac:dyDescent="0.2">
      <c r="B84" s="76"/>
      <c r="C84" s="41" t="s">
        <v>26</v>
      </c>
      <c r="D84" s="51"/>
      <c r="E84" s="38"/>
      <c r="F84" s="171">
        <v>0</v>
      </c>
      <c r="G84" s="135" t="s">
        <v>129</v>
      </c>
      <c r="I84" s="151" t="str">
        <f>IF(F84&lt;=0,"keine Angabe","Förderanteil "&amp;ROUND(F84/F81*100,2)&amp;" %")</f>
        <v>keine Angabe</v>
      </c>
      <c r="J84" s="170" t="s">
        <v>182</v>
      </c>
      <c r="K84"/>
    </row>
    <row r="85" spans="1:11" x14ac:dyDescent="0.2">
      <c r="B85" s="76"/>
      <c r="C85" s="35" t="s">
        <v>144</v>
      </c>
      <c r="D85" s="51"/>
      <c r="E85" s="38"/>
      <c r="F85" s="172">
        <f>F83-F84</f>
        <v>0</v>
      </c>
      <c r="G85" s="135" t="s">
        <v>129</v>
      </c>
      <c r="I85" s="151"/>
      <c r="K85"/>
    </row>
    <row r="86" spans="1:11" ht="25.5" x14ac:dyDescent="0.2">
      <c r="B86" s="76"/>
      <c r="C86" s="176" t="s">
        <v>6</v>
      </c>
      <c r="D86" s="51" t="s">
        <v>15</v>
      </c>
      <c r="E86" s="38"/>
      <c r="F86" s="174">
        <v>20</v>
      </c>
      <c r="G86" s="135" t="s">
        <v>131</v>
      </c>
      <c r="H86" s="196"/>
      <c r="I86" s="151"/>
      <c r="J86" s="170"/>
      <c r="K86"/>
    </row>
    <row r="87" spans="1:11" x14ac:dyDescent="0.2">
      <c r="B87" s="76"/>
      <c r="C87" s="35" t="s">
        <v>132</v>
      </c>
      <c r="D87" s="44" t="s">
        <v>8</v>
      </c>
      <c r="E87" s="38"/>
      <c r="F87" s="175">
        <f>F85/F86</f>
        <v>0</v>
      </c>
      <c r="G87" s="135" t="s">
        <v>133</v>
      </c>
      <c r="H87" s="196"/>
      <c r="I87" s="151"/>
      <c r="K87"/>
    </row>
    <row r="88" spans="1:11" ht="15" customHeight="1" x14ac:dyDescent="0.2">
      <c r="B88" s="76"/>
      <c r="C88" s="35" t="s">
        <v>134</v>
      </c>
      <c r="D88" s="44" t="s">
        <v>8</v>
      </c>
      <c r="E88" s="38"/>
      <c r="F88" s="175">
        <f>F85/2*$F$43</f>
        <v>0</v>
      </c>
      <c r="G88" s="135" t="s">
        <v>133</v>
      </c>
      <c r="I88" s="151"/>
      <c r="K88"/>
    </row>
    <row r="89" spans="1:11" ht="15" customHeight="1" x14ac:dyDescent="0.2">
      <c r="B89" s="76"/>
      <c r="C89" s="35" t="s">
        <v>5</v>
      </c>
      <c r="D89" s="44" t="s">
        <v>8</v>
      </c>
      <c r="E89" s="38"/>
      <c r="F89" s="175">
        <f>F83*$F$44</f>
        <v>0</v>
      </c>
      <c r="G89" s="135" t="s">
        <v>133</v>
      </c>
      <c r="I89" s="151"/>
      <c r="K89"/>
    </row>
    <row r="90" spans="1:11" ht="13.5" thickBot="1" x14ac:dyDescent="0.25">
      <c r="B90" s="76"/>
      <c r="C90" s="50" t="s">
        <v>0</v>
      </c>
      <c r="D90" s="50"/>
      <c r="E90" s="38"/>
      <c r="F90" s="177" t="e">
        <f>F80+F87+F88+F89</f>
        <v>#DIV/0!</v>
      </c>
      <c r="G90" s="135" t="s">
        <v>133</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175</v>
      </c>
      <c r="E94" s="45"/>
      <c r="F94" s="179">
        <v>0</v>
      </c>
      <c r="G94" s="135" t="s">
        <v>133</v>
      </c>
      <c r="I94" s="151" t="str">
        <f>IF(F94&gt;0,"gesonderte Nachweise sind zu erbringen!","")</f>
        <v/>
      </c>
      <c r="J94" s="170" t="s">
        <v>180</v>
      </c>
      <c r="K94"/>
    </row>
    <row r="95" spans="1:11" ht="13.15" customHeight="1" x14ac:dyDescent="0.2">
      <c r="D95" s="14"/>
      <c r="E95" s="38"/>
      <c r="I95" s="151"/>
      <c r="K95"/>
    </row>
    <row r="96" spans="1:11" ht="13.15" customHeight="1" thickBot="1" x14ac:dyDescent="0.25">
      <c r="B96" s="52" t="s">
        <v>46</v>
      </c>
      <c r="C96" s="52"/>
      <c r="D96" s="52"/>
      <c r="E96" s="38"/>
      <c r="F96" s="180" t="e">
        <f>SUM(F94+F90)</f>
        <v>#DIV/0!</v>
      </c>
      <c r="G96" s="135" t="s">
        <v>133</v>
      </c>
      <c r="I96" s="151"/>
      <c r="K96"/>
    </row>
    <row r="97" spans="1:11" ht="13.5" thickTop="1" x14ac:dyDescent="0.2">
      <c r="B97" s="78"/>
      <c r="D97" s="14"/>
      <c r="E97" s="38"/>
      <c r="I97" s="151"/>
      <c r="K97"/>
    </row>
    <row r="98" spans="1:11" x14ac:dyDescent="0.2">
      <c r="A98" s="22" t="s">
        <v>145</v>
      </c>
      <c r="D98" s="14"/>
      <c r="E98" s="38"/>
      <c r="I98" s="151"/>
      <c r="K98"/>
    </row>
    <row r="99" spans="1:11" x14ac:dyDescent="0.2">
      <c r="B99" s="78"/>
      <c r="D99" s="14"/>
      <c r="E99" s="38"/>
      <c r="K99"/>
    </row>
    <row r="100" spans="1:11" ht="12.75" customHeight="1" x14ac:dyDescent="0.2">
      <c r="B100" s="54" t="s">
        <v>146</v>
      </c>
      <c r="C100" s="55"/>
      <c r="D100" s="56"/>
      <c r="E100" s="38"/>
      <c r="F100" s="181"/>
      <c r="K100"/>
    </row>
    <row r="101" spans="1:11" ht="25.5" x14ac:dyDescent="0.2">
      <c r="B101" s="55"/>
      <c r="C101" s="197" t="s">
        <v>55</v>
      </c>
      <c r="D101" s="182" t="e">
        <f>ROUND($F$19/$D$104*100,2)&amp;" % für "&amp;$F$19&amp;"m von "&amp;$D$104&amp;"m"</f>
        <v>#DIV/0!</v>
      </c>
      <c r="E101" s="38"/>
      <c r="F101" s="183" t="e">
        <f>$F$96*$F$19/$D$104</f>
        <v>#DIV/0!</v>
      </c>
      <c r="G101" s="135" t="s">
        <v>133</v>
      </c>
      <c r="I101" s="151" t="e">
        <f>IF(F101&gt;0,"entspricht € "&amp;ROUND(F101/$F$19/12,2)&amp;" pro Meter und Monat","")</f>
        <v>#DIV/0!</v>
      </c>
      <c r="K101"/>
    </row>
    <row r="102" spans="1:11" ht="25.5" x14ac:dyDescent="0.2">
      <c r="B102" s="55"/>
      <c r="C102" s="197" t="s">
        <v>56</v>
      </c>
      <c r="D102" s="182" t="e">
        <f>ROUND($F$24/$D$104*100,2)&amp;" % für "&amp;$F$24&amp;"m von "&amp;$D$104&amp;"m"</f>
        <v>#DIV/0!</v>
      </c>
      <c r="E102" s="38"/>
      <c r="F102" s="183" t="e">
        <f>$F$96*$F$24/$D$104</f>
        <v>#DIV/0!</v>
      </c>
      <c r="G102" s="135" t="s">
        <v>133</v>
      </c>
      <c r="I102" s="151" t="e">
        <f>IF(F102&gt;0,"entspricht € "&amp;ROUND(F102/$F$24/12,2)&amp;" pro Meter und Monat","")</f>
        <v>#DIV/0!</v>
      </c>
      <c r="K102"/>
    </row>
    <row r="103" spans="1:11" x14ac:dyDescent="0.2">
      <c r="B103" s="55"/>
      <c r="C103" s="184" t="s">
        <v>147</v>
      </c>
      <c r="D103" s="185" t="str">
        <f>IF($F$35="ja",ROUND($F$36/$D$104*100,2)&amp;" % für "&amp;$F$36&amp;"m von "&amp;$D$104&amp;"m","")</f>
        <v/>
      </c>
      <c r="E103" s="38"/>
      <c r="F103" s="186">
        <f>IF(F35="ja",$F$96*$F$36/$D$104,0)</f>
        <v>0</v>
      </c>
      <c r="G103" s="135" t="s">
        <v>133</v>
      </c>
      <c r="I103" s="151" t="str">
        <f>IF(F103&gt;0,"entspricht € "&amp;ROUND(F103/$F$36/12,2)&amp;" pro Meter und Monat","")</f>
        <v/>
      </c>
      <c r="K103"/>
    </row>
    <row r="104" spans="1:11" ht="13.5" thickBot="1" x14ac:dyDescent="0.25">
      <c r="B104" s="55"/>
      <c r="C104" s="198" t="s">
        <v>142</v>
      </c>
      <c r="D104" s="188">
        <f>IF(F35="ja",$F$19+$F$24+$F$36,$F$19+$F$24)</f>
        <v>0</v>
      </c>
      <c r="E104" s="189"/>
      <c r="F104" s="190" t="e">
        <f>SUM(F101:F103)</f>
        <v>#DIV/0!</v>
      </c>
      <c r="G104" s="135" t="s">
        <v>133</v>
      </c>
      <c r="I104" s="151" t="e">
        <f>IF(F104&gt;0,"entspricht € "&amp;ROUND(F104/$D$104/12,2)&amp;" pro Meter und Monat","")</f>
        <v>#DIV/0!</v>
      </c>
      <c r="K104"/>
    </row>
    <row r="105" spans="1:11" ht="13.5" thickTop="1" x14ac:dyDescent="0.2">
      <c r="B105" s="78"/>
      <c r="D105" s="14"/>
      <c r="E105" s="38"/>
      <c r="K105"/>
    </row>
    <row r="106" spans="1:11" x14ac:dyDescent="0.2">
      <c r="A106" s="22" t="s">
        <v>148</v>
      </c>
      <c r="B106" s="78"/>
      <c r="D106" s="14"/>
      <c r="E106" s="38"/>
      <c r="K106"/>
    </row>
    <row r="107" spans="1:11" x14ac:dyDescent="0.2">
      <c r="B107" s="78"/>
      <c r="D107" s="14"/>
      <c r="E107" s="38"/>
      <c r="K107"/>
    </row>
    <row r="108" spans="1:11" ht="12.75" customHeight="1" x14ac:dyDescent="0.2">
      <c r="B108" s="54" t="s">
        <v>149</v>
      </c>
      <c r="C108" s="55"/>
      <c r="D108" s="56"/>
      <c r="E108" s="38"/>
      <c r="F108" s="181"/>
      <c r="K108"/>
    </row>
    <row r="109" spans="1:11" x14ac:dyDescent="0.2">
      <c r="B109" s="55"/>
      <c r="C109" s="197" t="s">
        <v>109</v>
      </c>
      <c r="D109" s="182" t="e">
        <f>ROUND($F$20/$D$115*100,2)&amp;" % von "&amp;ROUND($F$101,2)&amp;" € für "&amp;$F$20&amp;" Anschlüsse von "&amp;$D$115&amp;" Anschlüssen"</f>
        <v>#DIV/0!</v>
      </c>
      <c r="E109" s="38"/>
      <c r="F109" s="183" t="e">
        <f>$F$101*$F$20/$D$115</f>
        <v>#DIV/0!</v>
      </c>
      <c r="G109" s="135" t="s">
        <v>133</v>
      </c>
      <c r="I109" s="151" t="e">
        <f>IF(F109&gt;0,"entspricht € "&amp;ROUND(F109/$F$20/12,2)&amp;" pro Anschluss und Monat","")</f>
        <v>#DIV/0!</v>
      </c>
      <c r="K109"/>
    </row>
    <row r="110" spans="1:11" ht="25.5" hidden="1" x14ac:dyDescent="0.2">
      <c r="B110" s="55"/>
      <c r="C110" s="199" t="s">
        <v>176</v>
      </c>
      <c r="D110" s="200" t="e">
        <f>ROUND($F$26/$D$115*100,2)&amp;" % von "&amp;ROUND($F$101,2)&amp;" € für "&amp;$F$26&amp;" Anschlüsse von "&amp;$D$115&amp;" Anschlüssen"</f>
        <v>#DIV/0!</v>
      </c>
      <c r="F110" s="201" t="e">
        <f>$F$101*$F$26/$D$115</f>
        <v>#DIV/0!</v>
      </c>
      <c r="G110" s="202" t="s">
        <v>133</v>
      </c>
      <c r="I110" s="151" t="e">
        <f>IF(F110&gt;0,"entspricht € "&amp;ROUND(F110/$F$26/12,2)&amp;" pro Anschluss und Monat","")</f>
        <v>#DIV/0!</v>
      </c>
      <c r="K110"/>
    </row>
    <row r="111" spans="1:11" x14ac:dyDescent="0.2">
      <c r="B111" s="55"/>
      <c r="C111" s="199" t="s">
        <v>150</v>
      </c>
      <c r="D111" s="200" t="e">
        <f>IF($F$31="ja",ROUND($F$32/$D$115*100,2)&amp;" % von "&amp;ROUND($F$101,2)&amp;" € für "&amp;$F$32&amp;" Anschlüsse von "&amp;$D$115&amp;" Anschlüssen","keine")</f>
        <v>#DIV/0!</v>
      </c>
      <c r="E111" s="38"/>
      <c r="F111" s="201" t="e">
        <f>IF($F$31="ja",$F$101*$F$32/$D$115,0)</f>
        <v>#DIV/0!</v>
      </c>
      <c r="G111" s="202" t="s">
        <v>133</v>
      </c>
      <c r="I111" s="151" t="e">
        <f>IF(F111&gt;0,"entspricht € "&amp;ROUND(F111/$F$32/12,2)&amp;" pro Anschluss und Monat","")</f>
        <v>#DIV/0!</v>
      </c>
      <c r="K111"/>
    </row>
    <row r="112" spans="1:11" ht="25.5" hidden="1" x14ac:dyDescent="0.2">
      <c r="B112" s="55"/>
      <c r="C112" s="199" t="s">
        <v>177</v>
      </c>
      <c r="D112" s="200" t="e">
        <f>ROUND($F$25/$D$115*100,2)&amp;" % von "&amp;ROUND($F$101,2)&amp;" € für "&amp;$F$25&amp;" Anschlüsse von "&amp;$D$115&amp;" Anschlüssen"</f>
        <v>#DIV/0!</v>
      </c>
      <c r="E112" s="38"/>
      <c r="F112" s="201" t="e">
        <f>$F$101*$F$25/$D$115</f>
        <v>#DIV/0!</v>
      </c>
      <c r="G112" s="202" t="s">
        <v>133</v>
      </c>
      <c r="I112" s="151" t="e">
        <f>IF(F112&gt;0,"entspricht € "&amp;ROUND(F112/$F$25/12,2)&amp;" pro Anschluss und Monat","")</f>
        <v>#DIV/0!</v>
      </c>
      <c r="K112"/>
    </row>
    <row r="113" spans="1:11" x14ac:dyDescent="0.2">
      <c r="B113" s="55"/>
      <c r="C113" s="184" t="s">
        <v>151</v>
      </c>
      <c r="D113" s="185" t="str">
        <f>IF($F$33="ja",ROUND($F$34/$D$115*100,2)&amp;" % von "&amp;ROUND($F$101,2)&amp;" € für "&amp;$F$34&amp;" Anschlüsse von "&amp;$D$115&amp;" Anschlüssen","")</f>
        <v/>
      </c>
      <c r="E113" s="38"/>
      <c r="F113" s="186">
        <f>IF($F$33="ja",$F$101*$F$34/$D$115,0)</f>
        <v>0</v>
      </c>
      <c r="G113" s="135" t="s">
        <v>133</v>
      </c>
      <c r="I113" s="151" t="str">
        <f>IF(F113&gt;0,"entspricht € "&amp;ROUND(F113/$F$34/12,2)&amp;" pro Anschluss und Monat","")</f>
        <v/>
      </c>
      <c r="K113"/>
    </row>
    <row r="114" spans="1:11" x14ac:dyDescent="0.2">
      <c r="B114" s="55"/>
      <c r="C114" s="199" t="s">
        <v>152</v>
      </c>
      <c r="D114" s="200" t="e">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#DIV/0!</v>
      </c>
      <c r="E114" s="38"/>
      <c r="F114" s="201" t="e">
        <f>IF($F$33="ja",IF($F$31="ja",$F$101*($D$115-($F$20+$F$25+$F$34+$F$26+$F$32))/$D$115,$F$101*($D$115-($F$20+$F$25+$F$34+$F$26))/$D$115),IF($F$31="ja",$F$101*($D$115-($F$20+$F$25+$F$26+$F$32))/$D$115,$F$101*($D$115-($F$20+$F$25+$F$26))/$D$115))</f>
        <v>#DIV/0!</v>
      </c>
      <c r="G114" s="202" t="s">
        <v>133</v>
      </c>
      <c r="I114" s="151" t="e">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#DIV/0!</v>
      </c>
      <c r="K114"/>
    </row>
    <row r="115" spans="1:11" ht="13.5" thickBot="1" x14ac:dyDescent="0.25">
      <c r="B115" s="55"/>
      <c r="C115" s="198" t="s">
        <v>153</v>
      </c>
      <c r="D115" s="188">
        <f>ROUNDDOWN(F15*F3,0)</f>
        <v>0</v>
      </c>
      <c r="E115" s="189"/>
      <c r="F115" s="190" t="e">
        <f>SUM(F109:F114)</f>
        <v>#DIV/0!</v>
      </c>
      <c r="G115" s="135" t="s">
        <v>133</v>
      </c>
      <c r="I115" s="151" t="e">
        <f>IF(F115&gt;0,"entspricht € "&amp;ROUND(F115/$D$115/12,2)&amp;" pro Anschluss und Monat","")</f>
        <v>#DIV/0!</v>
      </c>
      <c r="J115">
        <f>($D$115-($F$20+$F$25+$F$34+$F$26+$F$32))</f>
        <v>0</v>
      </c>
      <c r="K115" s="203"/>
    </row>
    <row r="116" spans="1:11" ht="13.5" thickTop="1" x14ac:dyDescent="0.2">
      <c r="B116" s="78"/>
      <c r="D116" s="14"/>
      <c r="E116" s="38"/>
      <c r="J116" s="168">
        <f>($D$115-($F$20+$F$25+$F$26+$F$32))</f>
        <v>0</v>
      </c>
      <c r="K116"/>
    </row>
    <row r="117" spans="1:11" x14ac:dyDescent="0.2">
      <c r="A117" s="93"/>
      <c r="B117" s="93"/>
      <c r="C117" s="73"/>
      <c r="D117" s="94"/>
      <c r="E117" s="204"/>
      <c r="I117" s="137" t="e">
        <f>($D$115-$F$20+$F$25+$F$34+$F$26+$F$32)/$D$115</f>
        <v>#DIV/0!</v>
      </c>
      <c r="J117" s="168">
        <f>($D$115-($F$20+$F$25+$F$26))</f>
        <v>0</v>
      </c>
    </row>
    <row r="118" spans="1:11" ht="12.75" customHeight="1" x14ac:dyDescent="0.2">
      <c r="A118" s="22" t="s">
        <v>154</v>
      </c>
      <c r="D118" s="14"/>
      <c r="E118" s="38"/>
      <c r="I118" s="151"/>
      <c r="K118"/>
    </row>
    <row r="119" spans="1:11" x14ac:dyDescent="0.2">
      <c r="A119" s="22"/>
      <c r="D119" s="14"/>
      <c r="E119" s="38"/>
      <c r="I119" s="151"/>
      <c r="K119"/>
    </row>
    <row r="120" spans="1:11" ht="12.75" customHeight="1" x14ac:dyDescent="0.2">
      <c r="B120" s="76" t="s">
        <v>155</v>
      </c>
      <c r="C120" s="35"/>
      <c r="D120" s="51"/>
      <c r="E120" s="38"/>
      <c r="F120" s="192"/>
      <c r="I120" s="151"/>
      <c r="K120"/>
    </row>
    <row r="121" spans="1:11" ht="25.5" x14ac:dyDescent="0.2">
      <c r="B121" s="76"/>
      <c r="C121" s="193" t="s">
        <v>156</v>
      </c>
      <c r="D121" s="205" t="e">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#DIV/0!</v>
      </c>
      <c r="E121" s="38"/>
      <c r="F121" s="195" t="e">
        <f>F109+F110+F111+F114</f>
        <v>#DIV/0!</v>
      </c>
      <c r="G121" s="135" t="s">
        <v>133</v>
      </c>
      <c r="I121" s="151"/>
      <c r="K121"/>
    </row>
    <row r="122" spans="1:11" ht="15" customHeight="1" x14ac:dyDescent="0.2">
      <c r="B122" s="76"/>
      <c r="C122" s="41" t="s">
        <v>36</v>
      </c>
      <c r="D122" s="51" t="s">
        <v>2</v>
      </c>
      <c r="E122" s="38"/>
      <c r="F122" s="171">
        <v>0</v>
      </c>
      <c r="G122" s="135" t="s">
        <v>129</v>
      </c>
      <c r="I122" s="151" t="str">
        <f>IF(F122&lt;=0,"keine Angabe","entspricht "&amp;ROUND(F122/($F$20+$F$25+$F$26),2)&amp;" € pro tatsächlich angeschlossenem Haushalt")</f>
        <v>keine Angabe</v>
      </c>
      <c r="J122" s="170" t="s">
        <v>181</v>
      </c>
      <c r="K122"/>
    </row>
    <row r="123" spans="1:11" x14ac:dyDescent="0.2">
      <c r="B123" s="76"/>
      <c r="C123" s="35" t="s">
        <v>37</v>
      </c>
      <c r="D123" s="51"/>
      <c r="E123" s="38"/>
      <c r="F123" s="171">
        <v>0</v>
      </c>
      <c r="G123" s="135" t="s">
        <v>129</v>
      </c>
      <c r="I123" s="151" t="str">
        <f>IF(F123&lt;=0,"keine Angabe","entspricht "&amp;ROUND(F123/($F$20+$F$25+$F$26),2)&amp;" € pro tatsächlich angeschlossenem Haushalt")</f>
        <v>keine Angabe</v>
      </c>
      <c r="J123" s="170" t="s">
        <v>66</v>
      </c>
      <c r="K123"/>
    </row>
    <row r="124" spans="1:11" x14ac:dyDescent="0.2">
      <c r="B124" s="76"/>
      <c r="C124" s="35" t="s">
        <v>38</v>
      </c>
      <c r="D124" s="51"/>
      <c r="E124" s="38"/>
      <c r="F124" s="172">
        <f>SUM(F122:F123)</f>
        <v>0</v>
      </c>
      <c r="G124" s="135" t="s">
        <v>129</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129</v>
      </c>
      <c r="I125" s="151" t="str">
        <f>IF(F125&lt;=0,"keine Angabe","Förderanteil "&amp;ROUND(F125/F122*100,2)&amp;" %")</f>
        <v>keine Angabe</v>
      </c>
      <c r="J125" s="170" t="s">
        <v>182</v>
      </c>
      <c r="K125"/>
    </row>
    <row r="126" spans="1:11" x14ac:dyDescent="0.2">
      <c r="B126" s="76"/>
      <c r="C126" s="35" t="s">
        <v>144</v>
      </c>
      <c r="D126" s="51"/>
      <c r="E126" s="38"/>
      <c r="F126" s="172">
        <f>F124-F125</f>
        <v>0</v>
      </c>
      <c r="G126" s="135" t="s">
        <v>129</v>
      </c>
      <c r="I126" s="151"/>
      <c r="K126"/>
    </row>
    <row r="127" spans="1:11" ht="25.5" x14ac:dyDescent="0.2">
      <c r="B127" s="76"/>
      <c r="C127" s="176" t="s">
        <v>6</v>
      </c>
      <c r="D127" s="51" t="s">
        <v>15</v>
      </c>
      <c r="E127" s="38"/>
      <c r="F127" s="174">
        <v>20</v>
      </c>
      <c r="G127" s="135" t="s">
        <v>131</v>
      </c>
      <c r="H127" s="196"/>
      <c r="I127" s="151"/>
      <c r="J127" s="170"/>
      <c r="K127"/>
    </row>
    <row r="128" spans="1:11" x14ac:dyDescent="0.2">
      <c r="B128" s="76"/>
      <c r="C128" s="35" t="s">
        <v>132</v>
      </c>
      <c r="D128" s="44" t="s">
        <v>8</v>
      </c>
      <c r="E128" s="38"/>
      <c r="F128" s="175">
        <f>F126/F127</f>
        <v>0</v>
      </c>
      <c r="G128" s="135" t="s">
        <v>133</v>
      </c>
      <c r="H128" s="196"/>
      <c r="I128" s="151"/>
      <c r="K128"/>
    </row>
    <row r="129" spans="1:11" ht="15" customHeight="1" x14ac:dyDescent="0.2">
      <c r="B129" s="76"/>
      <c r="C129" s="35" t="s">
        <v>134</v>
      </c>
      <c r="D129" s="44" t="s">
        <v>8</v>
      </c>
      <c r="E129" s="38"/>
      <c r="F129" s="175">
        <f>F126/2*$F$43</f>
        <v>0</v>
      </c>
      <c r="G129" s="135" t="s">
        <v>133</v>
      </c>
      <c r="I129" s="151"/>
      <c r="K129"/>
    </row>
    <row r="130" spans="1:11" ht="15" customHeight="1" x14ac:dyDescent="0.2">
      <c r="B130" s="76"/>
      <c r="C130" s="35" t="s">
        <v>5</v>
      </c>
      <c r="D130" s="44" t="s">
        <v>8</v>
      </c>
      <c r="E130" s="38"/>
      <c r="F130" s="175">
        <f>F124*$F$44</f>
        <v>0</v>
      </c>
      <c r="G130" s="135" t="s">
        <v>133</v>
      </c>
      <c r="I130" s="151"/>
      <c r="K130"/>
    </row>
    <row r="131" spans="1:11" ht="13.5" thickBot="1" x14ac:dyDescent="0.25">
      <c r="B131" s="76"/>
      <c r="C131" s="50" t="s">
        <v>0</v>
      </c>
      <c r="D131" s="50"/>
      <c r="E131" s="38"/>
      <c r="F131" s="177" t="e">
        <f>F121+F128+F129+F130</f>
        <v>#DIV/0!</v>
      </c>
      <c r="G131" s="135" t="s">
        <v>133</v>
      </c>
      <c r="I131" s="151"/>
      <c r="K131"/>
    </row>
    <row r="132" spans="1:11" ht="13.5" thickTop="1" x14ac:dyDescent="0.2">
      <c r="A132" s="93"/>
      <c r="B132" s="93"/>
      <c r="C132" s="73"/>
      <c r="D132" s="94"/>
      <c r="E132" s="204"/>
    </row>
    <row r="133" spans="1:11" x14ac:dyDescent="0.2">
      <c r="A133" s="22" t="s">
        <v>157</v>
      </c>
      <c r="D133" s="14"/>
      <c r="E133" s="38"/>
    </row>
    <row r="134" spans="1:11" x14ac:dyDescent="0.2">
      <c r="D134" s="14"/>
      <c r="E134" s="38"/>
    </row>
    <row r="135" spans="1:11" x14ac:dyDescent="0.2">
      <c r="B135" s="45"/>
      <c r="C135" s="45" t="s">
        <v>44</v>
      </c>
      <c r="D135" s="178" t="s">
        <v>175</v>
      </c>
      <c r="E135" s="45"/>
      <c r="F135" s="179">
        <v>0</v>
      </c>
      <c r="G135" s="135" t="s">
        <v>133</v>
      </c>
      <c r="J135" s="170" t="s">
        <v>180</v>
      </c>
    </row>
    <row r="136" spans="1:11" x14ac:dyDescent="0.2">
      <c r="D136" s="14"/>
      <c r="E136" s="38"/>
    </row>
    <row r="137" spans="1:11" ht="13.5" thickBot="1" x14ac:dyDescent="0.25">
      <c r="B137" s="52" t="s">
        <v>46</v>
      </c>
      <c r="C137" s="52"/>
      <c r="D137" s="52"/>
      <c r="E137" s="38"/>
      <c r="F137" s="180" t="e">
        <f>SUM(F135+F131)</f>
        <v>#DIV/0!</v>
      </c>
      <c r="G137" s="135" t="s">
        <v>133</v>
      </c>
    </row>
    <row r="138" spans="1:11" ht="13.5" thickTop="1" x14ac:dyDescent="0.2">
      <c r="A138" s="93"/>
      <c r="B138" s="93"/>
      <c r="C138" s="73"/>
      <c r="D138" s="94"/>
      <c r="E138" s="204"/>
    </row>
    <row r="139" spans="1:11" x14ac:dyDescent="0.2">
      <c r="A139" s="22" t="s">
        <v>158</v>
      </c>
      <c r="B139" s="93"/>
      <c r="C139" s="73"/>
      <c r="D139" s="94"/>
      <c r="E139" s="204"/>
    </row>
    <row r="140" spans="1:11" x14ac:dyDescent="0.2">
      <c r="A140" s="93"/>
      <c r="B140" s="93"/>
      <c r="C140" s="73"/>
      <c r="D140" s="94"/>
      <c r="E140" s="204"/>
    </row>
    <row r="141" spans="1:11" ht="12.75" customHeight="1" x14ac:dyDescent="0.2">
      <c r="B141" s="54" t="s">
        <v>159</v>
      </c>
      <c r="C141" s="55"/>
      <c r="D141" s="56"/>
      <c r="E141" s="38"/>
      <c r="F141" s="181"/>
      <c r="K141"/>
    </row>
    <row r="142" spans="1:11" x14ac:dyDescent="0.2">
      <c r="B142" s="55"/>
      <c r="C142" s="197" t="s">
        <v>109</v>
      </c>
      <c r="D142" s="182" t="e">
        <f>ROUND($F$20/$D$146*100,2)&amp;" % von "&amp;ROUND($F$137,2)&amp;" € für "&amp;$F$20&amp;" Anschlüsse von "&amp;$D$146&amp;" Anschlüssen"</f>
        <v>#DIV/0!</v>
      </c>
      <c r="E142" s="38"/>
      <c r="F142" s="183" t="e">
        <f>$F$137*$F$20/$D$146</f>
        <v>#DIV/0!</v>
      </c>
      <c r="G142" s="135" t="s">
        <v>133</v>
      </c>
      <c r="I142" s="151" t="e">
        <f>IF(F142&gt;0,"entspricht € "&amp;ROUND(F142/$F$20/12,2)&amp;" pro Anschluss und Monat","")</f>
        <v>#DIV/0!</v>
      </c>
      <c r="K142"/>
    </row>
    <row r="143" spans="1:11" hidden="1" x14ac:dyDescent="0.2">
      <c r="B143" s="55"/>
      <c r="C143" s="199" t="s">
        <v>178</v>
      </c>
      <c r="D143" s="200" t="e">
        <f>ROUND($F$26/$D$146*100,2)&amp;" % von "&amp;ROUND(F137,2)&amp;" € für "&amp;$F$26&amp;" Anschlüsse von "&amp;$D$146&amp;" Anschlüssen"</f>
        <v>#DIV/0!</v>
      </c>
      <c r="F143" s="201" t="e">
        <f>$F$137*$F$26/$D$146</f>
        <v>#DIV/0!</v>
      </c>
      <c r="G143" s="202" t="s">
        <v>133</v>
      </c>
      <c r="I143" s="151" t="e">
        <f>IF(F143&gt;0,"entspricht € "&amp;ROUND(F143/$F$26/12,2)&amp;" pro Anschluss und Monat","")</f>
        <v>#DIV/0!</v>
      </c>
      <c r="K143"/>
    </row>
    <row r="144" spans="1:11" x14ac:dyDescent="0.2">
      <c r="B144" s="55"/>
      <c r="C144" s="184" t="s">
        <v>118</v>
      </c>
      <c r="D144" s="185" t="e">
        <f>IF($F$31="ja",ROUND($F$32/$D$146*100,2)&amp;" % von "&amp;ROUND(F137,2)&amp;" € für "&amp;$F$32&amp;" Anschlüsse von "&amp;$D$146&amp;" Anschlüssen","")</f>
        <v>#DIV/0!</v>
      </c>
      <c r="E144" s="38"/>
      <c r="F144" s="186" t="e">
        <f>IF($F$31="ja",$F$137*$F$32/$D$146,0)</f>
        <v>#DIV/0!</v>
      </c>
      <c r="G144" s="135" t="s">
        <v>133</v>
      </c>
      <c r="I144" s="151" t="e">
        <f>IF(F144&gt;0,"entspricht € "&amp;ROUND(F144/$F$32/12,2)&amp;" pro Anschluss und Monat","")</f>
        <v>#DIV/0!</v>
      </c>
      <c r="K144"/>
    </row>
    <row r="145" spans="1:16" x14ac:dyDescent="0.2">
      <c r="B145" s="55"/>
      <c r="C145" s="199" t="s">
        <v>152</v>
      </c>
      <c r="D145" s="200" t="e">
        <f>IF($F$31="ja",ROUND(($D$146-($F$20+$F$26+$F$32))/$D$146*100,2)&amp;" % von "&amp;ROUND(F137,2)&amp;" € für "&amp;$D$146-($F$20+$F$26+$F$32)&amp;" Anschlüsse von "&amp;$D$146&amp;" Anschlüssen",ROUND(($D$146-($F$20+$F$26))/$D$146*100,2)&amp;" % von "&amp;ROUND(F137,2)&amp;" € für "&amp;$D$146-($F$20+$F$26)&amp;" Anschlüsse von "&amp;$D$146&amp;" Anschlüssen")</f>
        <v>#DIV/0!</v>
      </c>
      <c r="E145" s="38"/>
      <c r="F145" s="201" t="e">
        <f>IF($F$31="ja",$F$137*($D$146-($F$20+$F$26+$F$32))/$D$146,$F$137*($D$146-($F$20+$F$26))/$D$146)</f>
        <v>#DIV/0!</v>
      </c>
      <c r="G145" s="202" t="s">
        <v>133</v>
      </c>
      <c r="I145" s="151" t="e">
        <f>IF(F145&gt;0,IF($F$31="ja","entspricht € "&amp;ROUND(F145/($D$146-($F$20+$F$26+$F$32))/12,2)&amp;" pro Anschluss und Monat","entspricht € "&amp;ROUND(F145/($D$146-($F$20+$F$26))/12,2)&amp;" pro Anschluss und Monat"),"negative Werte weisen hier eine Kostenüberdeckung aus, die mit der negativ dargestellten Anzahl an Anschlüssen erzielt wird.")</f>
        <v>#DIV/0!</v>
      </c>
      <c r="K145"/>
    </row>
    <row r="146" spans="1:16" ht="13.5" thickBot="1" x14ac:dyDescent="0.25">
      <c r="B146" s="55"/>
      <c r="C146" s="198" t="s">
        <v>153</v>
      </c>
      <c r="D146" s="188">
        <f>IF($F$33="ja",D115-(F25+F34),D115-(F25))</f>
        <v>0</v>
      </c>
      <c r="E146" s="189"/>
      <c r="F146" s="190" t="e">
        <f>SUM(F142:F145)</f>
        <v>#DIV/0!</v>
      </c>
      <c r="G146" s="135" t="s">
        <v>133</v>
      </c>
      <c r="I146" s="151" t="e">
        <f>IF(F146&gt;0,"entspricht € "&amp;ROUND(F146/$D$146/12,2)&amp;" pro Anschluss und Monat","")</f>
        <v>#DIV/0!</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160</v>
      </c>
      <c r="C151"/>
      <c r="D151" s="14"/>
      <c r="E151"/>
      <c r="G151" s="135"/>
      <c r="I151" s="137"/>
      <c r="J151"/>
      <c r="K151" s="18"/>
      <c r="L151"/>
      <c r="M151"/>
      <c r="N151"/>
      <c r="O151"/>
      <c r="P151"/>
    </row>
    <row r="152" spans="1:16" s="136" customFormat="1" x14ac:dyDescent="0.2">
      <c r="A152"/>
      <c r="B152" s="170" t="s">
        <v>161</v>
      </c>
      <c r="C152" s="170" t="s">
        <v>162</v>
      </c>
      <c r="D152" s="207"/>
      <c r="E152"/>
      <c r="G152" s="135"/>
      <c r="I152" s="137"/>
      <c r="J152"/>
      <c r="K152" s="18"/>
      <c r="L152"/>
      <c r="M152"/>
      <c r="N152"/>
      <c r="O152"/>
      <c r="P152"/>
    </row>
    <row r="153" spans="1:16" s="136" customFormat="1" x14ac:dyDescent="0.2">
      <c r="A153"/>
      <c r="B153" s="170" t="s">
        <v>163</v>
      </c>
      <c r="C153" s="170" t="s">
        <v>164</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2024-11-29T10:23:35Z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