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showInkAnnotation="0" autoCompressPictures="0"/>
  <xr:revisionPtr revIDLastSave="0" documentId="13_ncr:1_{D1F6DF7B-A483-4DC5-8555-A2C22E8AA3F4}" xr6:coauthVersionLast="47" xr6:coauthVersionMax="47" xr10:uidLastSave="{00000000-0000-0000-0000-000000000000}"/>
  <bookViews>
    <workbookView xWindow="-120" yWindow="-120" windowWidth="29040" windowHeight="17640" activeTab="2"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25" i="7" l="1"/>
  <c r="F124" i="7"/>
  <c r="F130" i="7" s="1"/>
  <c r="I123" i="7"/>
  <c r="I122" i="7"/>
  <c r="D115" i="7"/>
  <c r="F113" i="7"/>
  <c r="I113" i="7" s="1"/>
  <c r="D113" i="7"/>
  <c r="D104" i="7"/>
  <c r="D101" i="7" s="1"/>
  <c r="F103" i="7"/>
  <c r="I103" i="7" s="1"/>
  <c r="D103" i="7"/>
  <c r="I94" i="7"/>
  <c r="I84" i="7"/>
  <c r="F83" i="7"/>
  <c r="I83" i="7" s="1"/>
  <c r="I82" i="7"/>
  <c r="I81" i="7"/>
  <c r="D74" i="7"/>
  <c r="F73" i="7"/>
  <c r="I73" i="7" s="1"/>
  <c r="D73" i="7"/>
  <c r="I64" i="7"/>
  <c r="I52" i="7"/>
  <c r="F51" i="7"/>
  <c r="F58" i="7" s="1"/>
  <c r="I50" i="7"/>
  <c r="I49" i="7"/>
  <c r="I45" i="7"/>
  <c r="I44" i="7"/>
  <c r="I43" i="7"/>
  <c r="I38" i="7"/>
  <c r="I37" i="7"/>
  <c r="I36" i="7"/>
  <c r="I35" i="7"/>
  <c r="I34" i="7"/>
  <c r="I33" i="7"/>
  <c r="I32" i="7"/>
  <c r="I31" i="7"/>
  <c r="I29" i="7"/>
  <c r="I26" i="7"/>
  <c r="I25" i="7"/>
  <c r="I24" i="7"/>
  <c r="I23" i="7"/>
  <c r="I20" i="7"/>
  <c r="I19" i="7"/>
  <c r="I18" i="7"/>
  <c r="I15" i="7"/>
  <c r="I14" i="7"/>
  <c r="I13" i="7"/>
  <c r="I12" i="7"/>
  <c r="I3" i="7"/>
  <c r="D102" i="7" l="1"/>
  <c r="F126" i="7"/>
  <c r="F129" i="7" s="1"/>
  <c r="F53" i="7"/>
  <c r="F55" i="7" s="1"/>
  <c r="I51" i="7"/>
  <c r="F57" i="7"/>
  <c r="F85" i="7"/>
  <c r="J115" i="7"/>
  <c r="J116" i="7"/>
  <c r="I124" i="7"/>
  <c r="I117" i="7"/>
  <c r="F89" i="7"/>
  <c r="J117" i="7"/>
  <c r="D146" i="7"/>
  <c r="F128" i="7" l="1"/>
  <c r="F56" i="7"/>
  <c r="F59" i="7" s="1"/>
  <c r="F66" i="7" s="1"/>
  <c r="F71" i="7" s="1"/>
  <c r="F88" i="7"/>
  <c r="F87" i="7"/>
  <c r="D72" i="7" l="1"/>
  <c r="D80" i="7"/>
  <c r="D71" i="7"/>
  <c r="F72" i="7"/>
  <c r="I72" i="7" s="1"/>
  <c r="F80" i="7"/>
  <c r="F74" i="7"/>
  <c r="I74" i="7" s="1"/>
  <c r="I71" i="7"/>
  <c r="F90" i="7" l="1"/>
  <c r="F96" i="7" s="1"/>
  <c r="F102" i="7" l="1"/>
  <c r="I102" i="7" s="1"/>
  <c r="F101" i="7"/>
  <c r="F110" i="7" s="1"/>
  <c r="I110" i="7" s="1"/>
  <c r="F114" i="7"/>
  <c r="I114" i="7" s="1"/>
  <c r="F111" i="7"/>
  <c r="I111" i="7" s="1"/>
  <c r="D111" i="7"/>
  <c r="D121" i="7"/>
  <c r="D114" i="7"/>
  <c r="D109" i="7"/>
  <c r="D110" i="7"/>
  <c r="I101" i="7" l="1"/>
  <c r="F112" i="7"/>
  <c r="I112" i="7" s="1"/>
  <c r="D112" i="7"/>
  <c r="F104" i="7"/>
  <c r="I104" i="7" s="1"/>
  <c r="F109" i="7"/>
  <c r="F121" i="7" s="1"/>
  <c r="F131" i="7" s="1"/>
  <c r="F137" i="7" s="1"/>
  <c r="I109" i="7"/>
  <c r="F115" i="7" l="1"/>
  <c r="I115" i="7" s="1"/>
  <c r="F143" i="7"/>
  <c r="I143" i="7" s="1"/>
  <c r="F145" i="7"/>
  <c r="I145" i="7" s="1"/>
  <c r="F142" i="7"/>
  <c r="I142" i="7" s="1"/>
  <c r="F144" i="7"/>
  <c r="D144" i="7"/>
  <c r="D143" i="7"/>
  <c r="D142" i="7"/>
  <c r="D145" i="7"/>
  <c r="I144" i="7" l="1"/>
  <c r="B6" i="7"/>
  <c r="F146" i="7"/>
  <c r="I146" i="7" s="1"/>
  <c r="G38" i="6" l="1"/>
  <c r="G37" i="6"/>
  <c r="G32" i="6"/>
  <c r="G19" i="6"/>
  <c r="G17" i="6"/>
  <c r="G16" i="6"/>
  <c r="G12" i="6"/>
  <c r="G51" i="6" s="1"/>
  <c r="G11" i="6"/>
  <c r="G10" i="6"/>
  <c r="G67" i="6" s="1"/>
  <c r="G9" i="6"/>
  <c r="G23" i="6" s="1"/>
  <c r="G65" i="6" s="1"/>
  <c r="G15" i="5"/>
  <c r="E15" i="5"/>
  <c r="G82" i="6"/>
  <c r="E65" i="6"/>
  <c r="E66" i="6" s="1"/>
  <c r="E68" i="6" s="1"/>
  <c r="E64" i="6"/>
  <c r="G60" i="6"/>
  <c r="G62" i="6" s="1"/>
  <c r="E44" i="6"/>
  <c r="G39" i="6"/>
  <c r="E24" i="6"/>
  <c r="E22" i="6"/>
  <c r="E27" i="6" s="1"/>
  <c r="G40" i="6" l="1"/>
  <c r="G18" i="6"/>
  <c r="G20" i="6" s="1"/>
  <c r="G89" i="6"/>
  <c r="E76" i="6"/>
  <c r="E84" i="6" s="1"/>
  <c r="G66" i="6"/>
  <c r="G64" i="6"/>
  <c r="G39" i="4"/>
  <c r="G40" i="4" s="1"/>
  <c r="G51" i="4"/>
  <c r="G18" i="4"/>
  <c r="G20" i="4" s="1"/>
  <c r="G22" i="4" s="1"/>
  <c r="G23" i="4"/>
  <c r="E22" i="4"/>
  <c r="E27" i="4" s="1"/>
  <c r="E24" i="4"/>
  <c r="E44" i="4"/>
  <c r="G24" i="4" l="1"/>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<sst xmlns="http://schemas.openxmlformats.org/spreadsheetml/2006/main" count="412" uniqueCount="184">
  <si>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</si>
  <si>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</si>
  <si>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</si>
  <si>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</si>
  <si>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</si>
  <si>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</si>
  <si>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</si>
  <si>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</si>
  <si>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</si>
  <si>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</si>
  <si>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</si>
  <si>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</si>
  <si>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</si>
  <si>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</si>
  <si>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</si>
  <si>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</si>
  <si>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</si>
  <si>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</si>
  <si>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</si>
  <si>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</si>
  <si>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</si>
  <si>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</si>
  <si>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</si>
  <si>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</si>
  <si>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</si>
  <si>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</si>
  <si>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</si>
  <si>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</si>
  <si>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</si>
  <si>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</si>
  <si>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</si>
  <si>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</si>
  <si>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</si>
  <si>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</si>
  <si>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</si>
  <si>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</si>
  <si>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</si>
  <si>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</si>
  <si>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</si>
  <si>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</si>
  <si>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</si>
  <si>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</si>
  <si>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</si>
  <si>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</si>
  <si>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</si>
  <si>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</si>
  <si>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</si>
  <si>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</si>
  <si>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</si>
  <si>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</si>
  <si>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</si>
  <si>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</si>
  <si>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</si>
  <si>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</si>
  <si>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</si>
  <si>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</si>
  <si>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</si>
  <si>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</si>
  <si>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</si>
  <si>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</si>
  <si>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</si>
  <si>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t xml:space="preserve"> </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</si>
  <si>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</si>
  <si>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</si>
  <si>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</si>
  <si>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</si>
  <si>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</si>
  <si>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</si>
  <si>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</si>
  <si>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</si>
  <si>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</si>
  <si>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</si>
  <si>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</si>
  <si>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</si>
  <si>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</si>
  <si>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</si>
  <si>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</si>
  <si>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</si>
  <si>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</si>
  <si>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</si>
  <si>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</si>
  <si>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</si>
  <si>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</si>
  <si>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</si>
  <si>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</si>
  <si>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</si>
  <si>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</si>
  <si>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</si>
  <si>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</si>
  <si>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</si>
  <si>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</si>
  <si>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</si>
  <si>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</si>
  <si>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</si>
  <si>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</si>
  <si>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</si>
  <si>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</si>
  <si>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</si>
  <si>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</si>
  <si>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</si>
  <si>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</si>
  <si>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</si>
  <si>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</si>
  <si>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</si>
  <si>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</si>
  <si>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</si>
  <si>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</si>
  <si>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</si>
  <si>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</si>
  <si>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</si>
  <si>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</si>
  <si>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</si>
  <si>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</si>
  <si>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</si>
  <si>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</si>
  <si>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</si>
  <si>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</si>
  <si>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</si>
  <si>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</si>
  <si>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</si>
  <si>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</si>
  <si>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</si>
  <si>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</si>
  <si>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</si>
  <si>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</si>
  <si>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</si>
  <si>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</si>
  <si>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</si>
  <si>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</si>
  <si>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</si>
  <si>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</si>
  <si>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</si>
  <si>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</si>
  <si>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</si>
  <si>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</si>
  <si>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</si>
  <si>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</si>
  <si>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</si>
  <si>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</si>
  <si>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</si>
  <si>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</si>
  <si>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</si>
  <si>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</si>
  <si>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</si>
  <si>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</si>
  <si>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</si>
  <si>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</si>
  <si>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</si>
  <si>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</si>
  <si>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</si>
  <si>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</si>
  <si>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</si>
  <si>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</si>
  <si>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</si>
  <si>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</si>
  <si>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</si>
  <si>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</si>
  <si>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</si>
  <si>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</si>
  <si>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</si>
  <si>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</si>
  <si>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</si>
  <si>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</si>
  <si>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</si>
  <si>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</si>
  <si>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</si>
  <si>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</si>
  <si>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</si>
  <si>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</si>
  <si>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</si>
  <si>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</si>
  <si>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ja</t>
  </si>
  <si>
    <t>nein</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</si>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</sst>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0.000"/>
    <numFmt numFmtId="165" formatCode="_-* #,##0_-;\-* #,##0_-;_-* &quot;-&quot;??_-;_-@_-"/>
    <numFmt numFmtId="166" formatCode="0.0"/>
    <numFmt numFmtId="167" formatCode="_-* #,##0.000_-;\-* #,##0.000_-;_-* &quot;-&quot;??_-;_-@_-"/>
    <numFmt numFmtId="168" formatCode="_-* #,##0.00\ _€_-;\-* #,##0.00\ _€_-;_-* &quot;-&quot;??\ _€_-;_-@_-"/>
  </numFmts>
  <fonts count="49" x14ac:knownFonts="1">
    <font>
      <sz val="10"/>
      <name val="Arial"/>
      <family val="2"/>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ont>
    <font>
      <b/>
      <i/>
      <sz val="10"/>
      <name val="Arial"/>
      <family val="2"/>
    </font>
    <font>
      <b/>
      <i/>
      <sz val="12"/>
      <name val="Arial"/>
      <family val="2"/>
    </font>
    <font>
      <u/>
      <sz val="10"/>
      <color theme="10"/>
      <name val="Arial"/>
      <family val="2"/>
    </font>
    <font>
      <u/>
      <sz val="10"/>
      <color theme="11"/>
      <name val="Arial"/>
      <family val="2"/>
    </font>
    <font>
      <b/>
      <sz val="12"/>
      <name val="Arial"/>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17">
    <xf numFmtId="0" fontId="0" fillId="0" borderId="0" xfId="0"/>
    <xf numFmtId="0" fontId="4" fillId="8" borderId="0" xfId="0" applyFont="1" applyFill="1" applyAlignment="1">
      <alignment wrapText="1"/>
    </xf>
    <xf numFmtId="43" fontId="4" fillId="9" borderId="4" xfId="1" applyFont="1" applyFill="1" applyBorder="1" applyAlignment="1" applyProtection="1">
      <alignment horizontal="left" indent="1"/>
      <protection locked="0"/>
    </xf>
    <xf numFmtId="165" fontId="4" fillId="9" borderId="4" xfId="1" applyNumberFormat="1" applyFont="1" applyFill="1" applyBorder="1" applyAlignment="1" applyProtection="1">
      <alignment horizontal="left" indent="1"/>
      <protection locked="0"/>
    </xf>
    <xf numFmtId="43" fontId="4" fillId="9" borderId="4" xfId="0" applyNumberFormat="1" applyFont="1" applyFill="1" applyBorder="1" applyProtection="1">
      <protection locked="0"/>
    </xf>
    <xf numFmtId="166" fontId="4" fillId="9" borderId="4" xfId="0" applyNumberFormat="1" applyFont="1" applyFill="1" applyBorder="1" applyProtection="1">
      <protection locked="0"/>
    </xf>
    <xf numFmtId="166" fontId="4" fillId="10" borderId="4" xfId="0" applyNumberFormat="1" applyFont="1" applyFill="1" applyBorder="1" applyProtection="1">
      <protection locked="0"/>
    </xf>
    <xf numFmtId="9" fontId="15" fillId="9" borderId="4" xfId="0" applyNumberFormat="1" applyFont="1" applyFill="1" applyBorder="1" applyProtection="1">
      <protection locked="0"/>
    </xf>
    <xf numFmtId="10" fontId="15" fillId="9" borderId="4" xfId="0" applyNumberFormat="1" applyFont="1" applyFill="1" applyBorder="1" applyProtection="1">
      <protection locked="0"/>
    </xf>
    <xf numFmtId="0" fontId="15" fillId="9" borderId="4" xfId="0" applyFont="1" applyFill="1" applyBorder="1" applyProtection="1">
      <protection locked="0"/>
    </xf>
    <xf numFmtId="44" fontId="15" fillId="9" borderId="4" xfId="0" applyNumberFormat="1" applyFont="1" applyFill="1" applyBorder="1" applyProtection="1">
      <protection locked="0"/>
    </xf>
    <xf numFmtId="2" fontId="15" fillId="9" borderId="4" xfId="0" applyNumberFormat="1" applyFont="1" applyFill="1" applyBorder="1" applyProtection="1">
      <protection locked="0"/>
    </xf>
    <xf numFmtId="0" fontId="3" fillId="0" borderId="0" xfId="0" applyFont="1" applyAlignment="1">
      <alignment horizontal="left"/>
    </xf>
    <xf numFmtId="0" fontId="0" fillId="0" borderId="1" xfId="0" applyBorder="1" applyAlignment="1">
      <alignment horizontal="left"/>
    </xf>
    <xf numFmtId="0" fontId="0" fillId="0" borderId="0" xfId="0" applyAlignment="1">
      <alignment horizontal="left" wrapText="1"/>
    </xf>
    <xf numFmtId="0" fontId="0" fillId="0" borderId="2" xfId="0" applyBorder="1" applyAlignment="1">
      <alignment horizontal="left"/>
    </xf>
    <xf numFmtId="0" fontId="0" fillId="0" borderId="0" xfId="0" applyAlignment="1">
      <alignment horizontal="left"/>
    </xf>
    <xf numFmtId="43" fontId="0" fillId="0" borderId="0" xfId="1" applyFont="1" applyBorder="1" applyProtection="1"/>
    <xf numFmtId="49" fontId="0" fillId="0" borderId="0" xfId="0" applyNumberFormat="1"/>
    <xf numFmtId="0" fontId="9" fillId="0" borderId="0" xfId="0" applyFont="1" applyAlignment="1">
      <alignment horizontal="left" wrapText="1"/>
    </xf>
    <xf numFmtId="0" fontId="9" fillId="0" borderId="1" xfId="0" applyFont="1" applyBorder="1" applyAlignment="1">
      <alignment horizontal="left" wrapText="1"/>
    </xf>
    <xf numFmtId="0" fontId="0" fillId="0" borderId="1" xfId="0" applyBorder="1"/>
    <xf numFmtId="0" fontId="5" fillId="0" borderId="0" xfId="0" applyFont="1" applyAlignment="1">
      <alignment vertical="center"/>
    </xf>
    <xf numFmtId="0" fontId="0" fillId="0" borderId="0" xfId="0" applyAlignment="1">
      <alignment wrapText="1"/>
    </xf>
    <xf numFmtId="0" fontId="3" fillId="0" borderId="0" xfId="0" applyFont="1"/>
    <xf numFmtId="0" fontId="11" fillId="0" borderId="0" xfId="0" applyFont="1" applyAlignment="1">
      <alignment horizontal="left"/>
    </xf>
    <xf numFmtId="0" fontId="4" fillId="0" borderId="0" xfId="0" applyFont="1" applyAlignment="1">
      <alignment horizontal="left"/>
    </xf>
    <xf numFmtId="0" fontId="4" fillId="0" borderId="0" xfId="0" applyFont="1"/>
    <xf numFmtId="0" fontId="6" fillId="0" borderId="0" xfId="0" applyFont="1" applyAlignment="1">
      <alignment horizontal="left" wrapText="1"/>
    </xf>
    <xf numFmtId="0" fontId="20" fillId="0" borderId="0" xfId="0" applyFont="1"/>
    <xf numFmtId="0" fontId="0" fillId="8" borderId="0" xfId="0" applyFill="1"/>
    <xf numFmtId="0" fontId="0" fillId="8" borderId="0" xfId="0" applyFill="1" applyAlignment="1">
      <alignment wrapText="1"/>
    </xf>
    <xf numFmtId="0" fontId="4" fillId="8" borderId="0" xfId="0" applyFont="1" applyFill="1"/>
    <xf numFmtId="0" fontId="21" fillId="0" borderId="0" xfId="0" applyFont="1"/>
    <xf numFmtId="0" fontId="4" fillId="4" borderId="0" xfId="0" applyFont="1" applyFill="1"/>
    <xf numFmtId="0" fontId="0" fillId="3" borderId="0" xfId="0" applyFill="1"/>
    <xf numFmtId="0" fontId="0" fillId="3" borderId="0" xfId="0" applyFill="1" applyAlignment="1">
      <alignment horizontal="left" wrapText="1"/>
    </xf>
    <xf numFmtId="43" fontId="4" fillId="3" borderId="0" xfId="1" applyFont="1" applyFill="1" applyBorder="1" applyAlignment="1" applyProtection="1">
      <alignment horizontal="left" indent="1"/>
    </xf>
    <xf numFmtId="0" fontId="0" fillId="0" borderId="0" xfId="0" applyAlignment="1">
      <alignment horizontal="left" indent="1"/>
    </xf>
    <xf numFmtId="43" fontId="1" fillId="3" borderId="0" xfId="1" applyFont="1" applyFill="1" applyBorder="1" applyAlignment="1" applyProtection="1">
      <alignment horizontal="left" indent="1"/>
    </xf>
    <xf numFmtId="0" fontId="22" fillId="0" borderId="0" xfId="0" applyFont="1"/>
    <xf numFmtId="0" fontId="4" fillId="3" borderId="0" xfId="0" applyFont="1" applyFill="1"/>
    <xf numFmtId="165" fontId="1" fillId="3" borderId="0" xfId="1" applyNumberFormat="1" applyFont="1" applyFill="1" applyBorder="1" applyProtection="1"/>
    <xf numFmtId="0" fontId="7" fillId="3" borderId="0" xfId="0" applyFont="1" applyFill="1"/>
    <xf numFmtId="0" fontId="7" fillId="3" borderId="0" xfId="0" applyFont="1" applyFill="1" applyAlignment="1">
      <alignment wrapText="1"/>
    </xf>
    <xf numFmtId="43" fontId="7" fillId="3" borderId="0" xfId="0" applyNumberFormat="1" applyFont="1" applyFill="1"/>
    <xf numFmtId="9" fontId="4" fillId="3" borderId="0" xfId="3" applyFont="1" applyFill="1" applyBorder="1" applyProtection="1"/>
    <xf numFmtId="9" fontId="1" fillId="3" borderId="0" xfId="3" applyFont="1" applyFill="1" applyBorder="1" applyProtection="1"/>
    <xf numFmtId="43" fontId="4" fillId="3" borderId="0" xfId="0" applyNumberFormat="1" applyFont="1" applyFill="1"/>
    <xf numFmtId="43" fontId="1" fillId="3" borderId="0" xfId="0" applyNumberFormat="1" applyFont="1" applyFill="1"/>
    <xf numFmtId="43" fontId="7" fillId="3" borderId="3" xfId="0" applyNumberFormat="1" applyFont="1" applyFill="1" applyBorder="1"/>
    <xf numFmtId="0" fontId="7" fillId="3" borderId="0" xfId="0" applyFont="1" applyFill="1" applyAlignment="1">
      <alignment horizontal="left" wrapText="1"/>
    </xf>
    <xf numFmtId="0" fontId="10" fillId="5" borderId="3" xfId="0" applyFont="1" applyFill="1" applyBorder="1"/>
    <xf numFmtId="43" fontId="7" fillId="5" borderId="3" xfId="0" applyNumberFormat="1" applyFont="1" applyFill="1" applyBorder="1"/>
    <xf numFmtId="0" fontId="6" fillId="2" borderId="0" xfId="0" applyFont="1" applyFill="1"/>
    <xf numFmtId="0" fontId="0" fillId="2" borderId="0" xfId="0" applyFill="1"/>
    <xf numFmtId="0" fontId="0" fillId="2" borderId="0" xfId="0" applyFill="1" applyAlignment="1">
      <alignment horizontal="left" wrapText="1"/>
    </xf>
    <xf numFmtId="0" fontId="4" fillId="2" borderId="0" xfId="0" applyFont="1" applyFill="1"/>
    <xf numFmtId="0" fontId="0" fillId="2" borderId="5" xfId="0" applyFill="1" applyBorder="1"/>
    <xf numFmtId="0" fontId="10" fillId="2" borderId="0" xfId="0" applyFont="1" applyFill="1"/>
    <xf numFmtId="0" fontId="0" fillId="0" borderId="0" xfId="0" applyAlignment="1">
      <alignment horizontal="right"/>
    </xf>
    <xf numFmtId="0" fontId="0" fillId="5" borderId="3" xfId="0" applyFill="1" applyBorder="1" applyAlignment="1">
      <alignment horizontal="left" wrapText="1"/>
    </xf>
    <xf numFmtId="0" fontId="10" fillId="5" borderId="0" xfId="0" applyFont="1" applyFill="1" applyAlignment="1">
      <alignment horizontal="left" wrapText="1"/>
    </xf>
    <xf numFmtId="43" fontId="7" fillId="5" borderId="0" xfId="1" applyFont="1" applyFill="1" applyBorder="1" applyProtection="1"/>
    <xf numFmtId="0" fontId="4" fillId="6" borderId="0" xfId="0" applyFont="1" applyFill="1" applyAlignment="1">
      <alignment horizontal="right"/>
    </xf>
    <xf numFmtId="0" fontId="4" fillId="6" borderId="0" xfId="0" applyFont="1" applyFill="1" applyAlignment="1">
      <alignment horizontal="left"/>
    </xf>
    <xf numFmtId="4" fontId="0" fillId="6" borderId="0" xfId="0" applyNumberFormat="1" applyFill="1" applyAlignment="1">
      <alignment horizontal="right"/>
    </xf>
    <xf numFmtId="0" fontId="0" fillId="7" borderId="0" xfId="0" applyFill="1"/>
    <xf numFmtId="0" fontId="0" fillId="7" borderId="0" xfId="0" applyFill="1" applyAlignment="1">
      <alignment horizontal="left"/>
    </xf>
    <xf numFmtId="0" fontId="10" fillId="7" borderId="0" xfId="0" applyFont="1" applyFill="1" applyAlignment="1">
      <alignment horizontal="left" wrapText="1"/>
    </xf>
    <xf numFmtId="43" fontId="7" fillId="7" borderId="0" xfId="1" applyFont="1" applyFill="1" applyBorder="1" applyProtection="1"/>
    <xf numFmtId="0" fontId="0" fillId="7" borderId="0" xfId="0" applyFill="1" applyAlignment="1">
      <alignment horizontal="left" indent="1"/>
    </xf>
    <xf numFmtId="164" fontId="14" fillId="6" borderId="4" xfId="0" applyNumberFormat="1" applyFont="1" applyFill="1" applyBorder="1" applyAlignment="1">
      <alignment horizontal="right"/>
    </xf>
    <xf numFmtId="0" fontId="8" fillId="0" borderId="0" xfId="0" applyFont="1" applyAlignment="1">
      <alignment horizontal="right"/>
    </xf>
    <xf numFmtId="0" fontId="0" fillId="0" borderId="0" xfId="0" applyAlignment="1">
      <alignment horizontal="left" indent="2"/>
    </xf>
    <xf numFmtId="0" fontId="0" fillId="0" borderId="0" xfId="0" applyAlignment="1">
      <alignment horizontal="left" vertical="top" wrapText="1" indent="1"/>
    </xf>
    <xf numFmtId="0" fontId="6" fillId="3" borderId="0" xfId="0" applyFont="1" applyFill="1"/>
    <xf numFmtId="0" fontId="1" fillId="0" borderId="0" xfId="0" applyFont="1"/>
    <xf numFmtId="0" fontId="6" fillId="0" borderId="0" xfId="0" applyFont="1"/>
    <xf numFmtId="0" fontId="10" fillId="5" borderId="3" xfId="0" applyFont="1" applyFill="1" applyBorder="1" applyAlignment="1">
      <alignment horizontal="left" wrapText="1"/>
    </xf>
    <xf numFmtId="43" fontId="7" fillId="5" borderId="3" xfId="0" applyNumberFormat="1" applyFont="1" applyFill="1" applyBorder="1" applyAlignment="1">
      <alignment horizontal="right"/>
    </xf>
    <xf numFmtId="166" fontId="10" fillId="2" borderId="0" xfId="0" applyNumberFormat="1" applyFont="1" applyFill="1"/>
    <xf numFmtId="0" fontId="0" fillId="6" borderId="0" xfId="0" applyFill="1" applyAlignment="1">
      <alignment horizontal="left"/>
    </xf>
    <xf numFmtId="0" fontId="0" fillId="6" borderId="0" xfId="0" applyFill="1" applyAlignment="1">
      <alignment horizontal="left" wrapText="1"/>
    </xf>
    <xf numFmtId="0" fontId="0" fillId="6" borderId="0" xfId="0" applyFill="1"/>
    <xf numFmtId="0" fontId="0" fillId="6" borderId="0" xfId="0" applyFill="1" applyAlignment="1">
      <alignment horizontal="left" indent="1"/>
    </xf>
    <xf numFmtId="4" fontId="0" fillId="6" borderId="0" xfId="0" applyNumberFormat="1" applyFill="1"/>
    <xf numFmtId="0" fontId="0" fillId="7" borderId="0" xfId="0" applyFill="1" applyAlignment="1">
      <alignment wrapText="1"/>
    </xf>
    <xf numFmtId="0" fontId="4" fillId="7" borderId="0" xfId="0" applyFont="1" applyFill="1"/>
    <xf numFmtId="3" fontId="0" fillId="7" borderId="0" xfId="0" applyNumberFormat="1" applyFill="1"/>
    <xf numFmtId="0" fontId="4" fillId="7" borderId="0" xfId="0" applyFont="1" applyFill="1" applyAlignment="1">
      <alignment horizontal="right"/>
    </xf>
    <xf numFmtId="0" fontId="0" fillId="7" borderId="0" xfId="0" applyFill="1" applyAlignment="1">
      <alignment horizontal="left" wrapText="1"/>
    </xf>
    <xf numFmtId="164" fontId="0" fillId="7" borderId="4" xfId="0" applyNumberFormat="1" applyFill="1" applyBorder="1" applyAlignment="1">
      <alignment horizontal="right"/>
    </xf>
    <xf numFmtId="0" fontId="2" fillId="0" borderId="0" xfId="0" applyFont="1"/>
    <xf numFmtId="0" fontId="2" fillId="0" borderId="0" xfId="0" applyFont="1" applyAlignment="1">
      <alignment horizontal="left" wrapText="1"/>
    </xf>
    <xf numFmtId="0" fontId="2" fillId="0" borderId="0" xfId="0" applyFont="1" applyAlignment="1">
      <alignment horizontal="left" indent="1"/>
    </xf>
    <xf numFmtId="9" fontId="2" fillId="0" borderId="0" xfId="3" applyFont="1" applyFill="1" applyBorder="1" applyAlignment="1" applyProtection="1">
      <alignment horizontal="left" indent="1"/>
    </xf>
    <xf numFmtId="0" fontId="29" fillId="8" borderId="0" xfId="0" applyFont="1" applyFill="1"/>
    <xf numFmtId="0" fontId="30" fillId="8" borderId="0" xfId="0" applyFont="1" applyFill="1" applyAlignment="1">
      <alignment wrapText="1"/>
    </xf>
    <xf numFmtId="0" fontId="29" fillId="0" borderId="0" xfId="0" applyFont="1"/>
    <xf numFmtId="0" fontId="29" fillId="3" borderId="0" xfId="0" applyFont="1" applyFill="1"/>
    <xf numFmtId="0" fontId="31" fillId="3" borderId="0" xfId="0" applyFont="1" applyFill="1"/>
    <xf numFmtId="43" fontId="31" fillId="3" borderId="3" xfId="0" applyNumberFormat="1" applyFont="1" applyFill="1" applyBorder="1"/>
    <xf numFmtId="43" fontId="31" fillId="3" borderId="0" xfId="0" applyNumberFormat="1" applyFont="1" applyFill="1"/>
    <xf numFmtId="0" fontId="32" fillId="5" borderId="3" xfId="0" applyFont="1" applyFill="1" applyBorder="1"/>
    <xf numFmtId="0" fontId="33" fillId="2" borderId="0" xfId="0" applyFont="1" applyFill="1"/>
    <xf numFmtId="0" fontId="29" fillId="2" borderId="0" xfId="0" applyFont="1" applyFill="1"/>
    <xf numFmtId="0" fontId="32" fillId="2" borderId="0" xfId="0" applyFont="1" applyFill="1"/>
    <xf numFmtId="0" fontId="34" fillId="0" borderId="0" xfId="0" applyFont="1" applyAlignment="1">
      <alignment vertical="center"/>
    </xf>
    <xf numFmtId="0" fontId="29" fillId="0" borderId="0" xfId="0" applyFont="1" applyAlignment="1">
      <alignment horizontal="left" wrapText="1"/>
    </xf>
    <xf numFmtId="0" fontId="29" fillId="0" borderId="0" xfId="0" applyFont="1" applyAlignment="1">
      <alignment horizontal="left" indent="1"/>
    </xf>
    <xf numFmtId="43" fontId="30" fillId="9" borderId="4" xfId="0" applyNumberFormat="1" applyFont="1" applyFill="1" applyBorder="1" applyProtection="1">
      <protection locked="0"/>
    </xf>
    <xf numFmtId="43" fontId="31" fillId="5" borderId="3" xfId="0" applyNumberFormat="1" applyFont="1" applyFill="1" applyBorder="1"/>
    <xf numFmtId="0" fontId="29" fillId="2" borderId="0" xfId="0" applyFont="1" applyFill="1" applyAlignment="1">
      <alignment horizontal="left" wrapText="1"/>
    </xf>
    <xf numFmtId="0" fontId="30" fillId="2" borderId="0" xfId="0" applyFont="1" applyFill="1"/>
    <xf numFmtId="0" fontId="29" fillId="2" borderId="5" xfId="0" applyFont="1" applyFill="1" applyBorder="1"/>
    <xf numFmtId="0" fontId="29" fillId="0" borderId="0" xfId="0" applyFont="1" applyAlignment="1">
      <alignment wrapText="1"/>
    </xf>
    <xf numFmtId="0" fontId="29" fillId="0" borderId="0" xfId="0" applyFont="1" applyAlignment="1">
      <alignment horizontal="right"/>
    </xf>
    <xf numFmtId="0" fontId="29" fillId="5" borderId="3" xfId="0" applyFont="1" applyFill="1" applyBorder="1" applyAlignment="1">
      <alignment horizontal="left" wrapText="1"/>
    </xf>
    <xf numFmtId="0" fontId="32" fillId="5" borderId="0" xfId="0" applyFont="1" applyFill="1" applyAlignment="1">
      <alignment horizontal="left" wrapText="1"/>
    </xf>
    <xf numFmtId="43" fontId="31" fillId="5" borderId="0" xfId="1" applyFont="1" applyFill="1" applyBorder="1" applyProtection="1"/>
    <xf numFmtId="0" fontId="30" fillId="6" borderId="0" xfId="0" applyFont="1" applyFill="1" applyAlignment="1">
      <alignment horizontal="right"/>
    </xf>
    <xf numFmtId="0" fontId="30" fillId="6" borderId="0" xfId="0" applyFont="1" applyFill="1" applyAlignment="1">
      <alignment horizontal="left"/>
    </xf>
    <xf numFmtId="4" fontId="29" fillId="6" borderId="0" xfId="0" applyNumberFormat="1" applyFont="1" applyFill="1" applyAlignment="1">
      <alignment horizontal="right"/>
    </xf>
    <xf numFmtId="0" fontId="29" fillId="7" borderId="0" xfId="0" applyFont="1" applyFill="1"/>
    <xf numFmtId="0" fontId="29" fillId="7" borderId="0" xfId="0" applyFont="1" applyFill="1" applyAlignment="1">
      <alignment horizontal="left"/>
    </xf>
    <xf numFmtId="0" fontId="32" fillId="7" borderId="0" xfId="0" applyFont="1" applyFill="1" applyAlignment="1">
      <alignment horizontal="left" wrapText="1"/>
    </xf>
    <xf numFmtId="43" fontId="31" fillId="7" borderId="0" xfId="1" applyFont="1" applyFill="1" applyBorder="1" applyProtection="1"/>
    <xf numFmtId="0" fontId="29" fillId="7" borderId="0" xfId="0" applyFont="1" applyFill="1" applyAlignment="1">
      <alignment horizontal="left" indent="1"/>
    </xf>
    <xf numFmtId="164" fontId="35" fillId="6" borderId="4" xfId="0" applyNumberFormat="1" applyFont="1" applyFill="1" applyBorder="1" applyAlignment="1">
      <alignment horizontal="right"/>
    </xf>
    <xf numFmtId="43" fontId="29" fillId="3" borderId="0" xfId="1" applyFont="1" applyFill="1" applyBorder="1" applyAlignment="1" applyProtection="1">
      <alignment horizontal="left" indent="1"/>
    </xf>
    <xf numFmtId="165" fontId="29" fillId="3" borderId="0" xfId="1" applyNumberFormat="1" applyFont="1" applyFill="1" applyBorder="1" applyProtection="1"/>
    <xf numFmtId="9" fontId="29" fillId="3" borderId="0" xfId="3" applyFont="1" applyFill="1" applyBorder="1" applyProtection="1"/>
    <xf numFmtId="43" fontId="29" fillId="3" borderId="0" xfId="0" applyNumberFormat="1" applyFont="1" applyFill="1"/>
    <xf numFmtId="0" fontId="4" fillId="0" borderId="0" xfId="0" applyFont="1" applyAlignment="1">
      <alignment horizontal="left" vertical="center"/>
    </xf>
    <xf numFmtId="0" fontId="18" fillId="0" borderId="0" xfId="0" applyFont="1" applyAlignment="1">
      <alignment vertical="center"/>
    </xf>
    <xf numFmtId="0" fontId="0" fillId="0" borderId="0" xfId="0" applyAlignment="1">
      <alignment vertical="center"/>
    </xf>
    <xf numFmtId="43" fontId="36" fillId="0" borderId="0" xfId="1" applyFont="1" applyBorder="1" applyAlignment="1">
      <alignment vertical="center" wrapText="1"/>
    </xf>
    <xf numFmtId="9" fontId="4" fillId="9" borderId="4" xfId="3" applyFont="1" applyFill="1" applyBorder="1" applyAlignment="1" applyProtection="1">
      <alignment horizontal="right" vertical="center"/>
      <protection locked="0"/>
    </xf>
    <xf numFmtId="0" fontId="37" fillId="0" borderId="0" xfId="0" applyFont="1" applyAlignment="1">
      <alignment vertical="center"/>
    </xf>
    <xf numFmtId="0" fontId="38" fillId="0" borderId="0" xfId="0" applyFont="1"/>
    <xf numFmtId="0" fontId="39" fillId="0" borderId="0" xfId="0" applyFont="1" applyAlignment="1">
      <alignment vertical="center"/>
    </xf>
    <xf numFmtId="0" fontId="40" fillId="0" borderId="0" xfId="0" applyFont="1" applyAlignment="1">
      <alignment vertical="center"/>
    </xf>
    <xf numFmtId="0" fontId="5" fillId="0" borderId="0" xfId="0" applyFont="1" applyAlignment="1">
      <alignment vertical="top"/>
    </xf>
    <xf numFmtId="0" fontId="41" fillId="0" borderId="0" xfId="0" applyFont="1"/>
    <xf numFmtId="0" fontId="42" fillId="0" borderId="0" xfId="0" applyFont="1" applyAlignment="1">
      <alignment vertical="center" wrapText="1"/>
    </xf>
    <xf numFmtId="0" fontId="43" fillId="0" borderId="0" xfId="0" applyFont="1" applyAlignment="1">
      <alignment vertical="center" wrapText="1"/>
    </xf>
    <xf numFmtId="0" fontId="4" fillId="0" borderId="0" xfId="0" applyFont="1" applyAlignment="1">
      <alignment vertical="center"/>
    </xf>
    <xf numFmtId="0" fontId="0" fillId="2" borderId="5" xfId="0" applyFill="1" applyBorder="1" applyAlignment="1">
      <alignment vertical="top" wrapText="1"/>
    </xf>
    <xf numFmtId="0" fontId="7" fillId="2" borderId="5" xfId="0" applyFont="1" applyFill="1" applyBorder="1" applyAlignment="1">
      <alignment vertical="top" wrapText="1"/>
    </xf>
    <xf numFmtId="165" fontId="4" fillId="9" borderId="4" xfId="1" applyNumberFormat="1" applyFont="1" applyFill="1" applyBorder="1" applyAlignment="1" applyProtection="1">
      <alignment horizontal="left" vertical="center"/>
      <protection locked="0"/>
    </xf>
    <xf numFmtId="0" fontId="36" fillId="0" borderId="0" xfId="0" applyFont="1" applyAlignment="1">
      <alignment vertical="center" wrapText="1"/>
    </xf>
    <xf numFmtId="0" fontId="4" fillId="0" borderId="6" xfId="0" applyFont="1" applyBorder="1" applyAlignment="1">
      <alignment horizontal="left" vertical="center"/>
    </xf>
    <xf numFmtId="0" fontId="4" fillId="11" borderId="0" xfId="0" applyFont="1" applyFill="1" applyAlignment="1">
      <alignment vertical="center"/>
    </xf>
    <xf numFmtId="0" fontId="0" fillId="11" borderId="1" xfId="0" applyFill="1" applyBorder="1"/>
    <xf numFmtId="0" fontId="0" fillId="11" borderId="7" xfId="0" applyFill="1" applyBorder="1" applyAlignment="1">
      <alignment wrapText="1"/>
    </xf>
    <xf numFmtId="165" fontId="45" fillId="9" borderId="8" xfId="1" applyNumberFormat="1" applyFont="1" applyFill="1" applyBorder="1" applyAlignment="1" applyProtection="1">
      <alignment horizontal="left" vertical="center"/>
      <protection locked="0"/>
    </xf>
    <xf numFmtId="0" fontId="0" fillId="11" borderId="0" xfId="0" applyFill="1" applyAlignment="1">
      <alignment vertical="center"/>
    </xf>
    <xf numFmtId="0" fontId="0" fillId="11" borderId="6" xfId="0" applyFill="1" applyBorder="1" applyAlignment="1">
      <alignment vertical="top" wrapText="1"/>
    </xf>
    <xf numFmtId="0" fontId="7" fillId="11" borderId="6" xfId="0" applyFont="1" applyFill="1" applyBorder="1" applyAlignment="1">
      <alignment vertical="top" wrapText="1"/>
    </xf>
    <xf numFmtId="165" fontId="4" fillId="9" borderId="9" xfId="1" applyNumberFormat="1" applyFont="1" applyFill="1" applyBorder="1" applyAlignment="1" applyProtection="1">
      <alignment horizontal="left" vertical="center"/>
      <protection locked="0"/>
    </xf>
    <xf numFmtId="0" fontId="7" fillId="11" borderId="5" xfId="0" applyFont="1" applyFill="1" applyBorder="1" applyAlignment="1">
      <alignment wrapText="1"/>
    </xf>
    <xf numFmtId="165" fontId="45" fillId="9" borderId="10" xfId="1" applyNumberFormat="1" applyFont="1" applyFill="1" applyBorder="1" applyAlignment="1" applyProtection="1">
      <alignment horizontal="left" vertical="center"/>
      <protection locked="0"/>
    </xf>
    <xf numFmtId="0" fontId="0" fillId="11" borderId="0" xfId="0" applyFill="1"/>
    <xf numFmtId="165" fontId="4" fillId="9" borderId="11" xfId="1" applyNumberFormat="1" applyFont="1" applyFill="1" applyBorder="1" applyAlignment="1" applyProtection="1">
      <alignment horizontal="left" vertical="center"/>
      <protection locked="0"/>
    </xf>
    <xf numFmtId="9" fontId="4" fillId="9" borderId="4" xfId="0" applyNumberFormat="1" applyFont="1" applyFill="1" applyBorder="1" applyAlignment="1" applyProtection="1">
      <alignment vertical="center"/>
      <protection locked="0"/>
    </xf>
    <xf numFmtId="10" fontId="4" fillId="9" borderId="4" xfId="0" applyNumberFormat="1" applyFont="1" applyFill="1" applyBorder="1" applyAlignment="1" applyProtection="1">
      <alignment vertical="center"/>
      <protection locked="0"/>
    </xf>
    <xf numFmtId="9" fontId="0" fillId="0" borderId="0" xfId="0" applyNumberFormat="1"/>
    <xf numFmtId="165" fontId="0" fillId="0" borderId="0" xfId="0" applyNumberFormat="1"/>
    <xf numFmtId="0" fontId="7" fillId="0" borderId="0" xfId="0" applyFont="1" applyAlignment="1">
      <alignment wrapText="1"/>
    </xf>
    <xf numFmtId="0" fontId="7" fillId="0" borderId="0" xfId="0" applyFont="1"/>
    <xf numFmtId="43" fontId="4" fillId="9" borderId="4" xfId="1" applyFont="1" applyFill="1" applyBorder="1" applyAlignment="1" applyProtection="1">
      <alignment horizontal="left" vertical="center"/>
      <protection locked="0"/>
    </xf>
    <xf numFmtId="43" fontId="7" fillId="3" borderId="0" xfId="1" applyFont="1" applyFill="1" applyBorder="1" applyAlignment="1">
      <alignment horizontal="left" vertical="center"/>
    </xf>
    <xf numFmtId="0" fontId="0" fillId="0" borderId="0" xfId="0" applyAlignment="1">
      <alignment vertical="center" wrapText="1"/>
    </xf>
    <xf numFmtId="165" fontId="1" fillId="3" borderId="0" xfId="1" applyNumberFormat="1" applyFont="1" applyFill="1" applyBorder="1" applyAlignment="1">
      <alignment vertical="center"/>
    </xf>
    <xf numFmtId="43" fontId="7" fillId="3" borderId="0" xfId="0" applyNumberFormat="1" applyFont="1" applyFill="1" applyAlignment="1">
      <alignment vertical="center"/>
    </xf>
    <xf numFmtId="0" fontId="0" fillId="3" borderId="0" xfId="0" applyFill="1" applyAlignment="1">
      <alignment vertical="top"/>
    </xf>
    <xf numFmtId="43" fontId="7" fillId="3" borderId="3" xfId="0" applyNumberFormat="1" applyFont="1" applyFill="1" applyBorder="1" applyAlignment="1">
      <alignment vertical="center"/>
    </xf>
    <xf numFmtId="43" fontId="7" fillId="3" borderId="0" xfId="0" applyNumberFormat="1" applyFont="1" applyFill="1" applyAlignment="1">
      <alignment wrapText="1"/>
    </xf>
    <xf numFmtId="43" fontId="4" fillId="9" borderId="4" xfId="0" applyNumberFormat="1" applyFont="1" applyFill="1" applyBorder="1" applyAlignment="1" applyProtection="1">
      <alignment vertical="center"/>
      <protection locked="0"/>
    </xf>
    <xf numFmtId="43" fontId="7" fillId="5" borderId="3" xfId="0" applyNumberFormat="1" applyFont="1" applyFill="1" applyBorder="1" applyAlignment="1">
      <alignment vertical="center"/>
    </xf>
    <xf numFmtId="0" fontId="0" fillId="2" borderId="0" xfId="0" applyFill="1" applyAlignment="1">
      <alignment vertical="center"/>
    </xf>
    <xf numFmtId="167" fontId="0" fillId="2" borderId="0" xfId="1" applyNumberFormat="1" applyFont="1" applyFill="1" applyBorder="1" applyAlignment="1">
      <alignment vertical="center"/>
    </xf>
    <xf numFmtId="43" fontId="7" fillId="2" borderId="0" xfId="1" applyFont="1" applyFill="1" applyBorder="1" applyAlignment="1">
      <alignment vertical="center"/>
    </xf>
    <xf numFmtId="0" fontId="0" fillId="12" borderId="0" xfId="0" applyFill="1"/>
    <xf numFmtId="167" fontId="0" fillId="12" borderId="0" xfId="1" applyNumberFormat="1" applyFont="1" applyFill="1" applyBorder="1" applyAlignment="1">
      <alignment vertical="center"/>
    </xf>
    <xf numFmtId="43" fontId="10" fillId="12" borderId="0" xfId="1" applyFont="1" applyFill="1" applyBorder="1" applyAlignment="1">
      <alignment vertical="center"/>
    </xf>
    <xf numFmtId="0" fontId="46" fillId="2" borderId="0" xfId="0" applyFont="1" applyFill="1"/>
    <xf numFmtId="165" fontId="47" fillId="2" borderId="3" xfId="0" applyNumberFormat="1" applyFont="1" applyFill="1" applyBorder="1" applyAlignment="1">
      <alignment horizontal="left" wrapText="1"/>
    </xf>
    <xf numFmtId="0" fontId="47" fillId="0" borderId="0" xfId="0" applyFont="1" applyAlignment="1">
      <alignment horizontal="left" indent="1"/>
    </xf>
    <xf numFmtId="43" fontId="46" fillId="2" borderId="3" xfId="0" applyNumberFormat="1" applyFont="1" applyFill="1" applyBorder="1" applyAlignment="1">
      <alignment horizontal="left" wrapText="1"/>
    </xf>
    <xf numFmtId="0" fontId="0" fillId="0" borderId="0" xfId="0" applyAlignment="1">
      <alignment horizontal="right" vertical="center"/>
    </xf>
    <xf numFmtId="0" fontId="0" fillId="3" borderId="0" xfId="0" applyFill="1" applyAlignment="1">
      <alignment vertical="center"/>
    </xf>
    <xf numFmtId="0" fontId="0" fillId="3" borderId="0" xfId="0" applyFill="1" applyAlignment="1">
      <alignment wrapText="1"/>
    </xf>
    <xf numFmtId="167" fontId="7" fillId="3" borderId="0" xfId="0" applyNumberFormat="1" applyFont="1" applyFill="1" applyAlignment="1">
      <alignment horizontal="left" wrapText="1"/>
    </xf>
    <xf numFmtId="43" fontId="0" fillId="3" borderId="0" xfId="0" applyNumberFormat="1" applyFill="1" applyAlignment="1">
      <alignment vertical="center"/>
    </xf>
    <xf numFmtId="0" fontId="1" fillId="0" borderId="0" xfId="0" applyFont="1" applyAlignment="1">
      <alignment vertical="center"/>
    </xf>
    <xf numFmtId="0" fontId="0" fillId="2" borderId="0" xfId="0" applyFill="1" applyAlignment="1">
      <alignment wrapText="1"/>
    </xf>
    <xf numFmtId="0" fontId="46" fillId="2" borderId="0" xfId="0" applyFont="1" applyFill="1" applyAlignment="1">
      <alignment wrapText="1"/>
    </xf>
    <xf numFmtId="0" fontId="47" fillId="2" borderId="0" xfId="0" applyFont="1" applyFill="1" applyAlignment="1">
      <alignment wrapText="1"/>
    </xf>
    <xf numFmtId="167" fontId="47" fillId="2" borderId="0" xfId="1" applyNumberFormat="1" applyFont="1" applyFill="1" applyBorder="1" applyAlignment="1">
      <alignment vertical="center"/>
    </xf>
    <xf numFmtId="43" fontId="46" fillId="2" borderId="0" xfId="1" applyFont="1" applyFill="1" applyBorder="1" applyAlignment="1">
      <alignment vertical="center"/>
    </xf>
    <xf numFmtId="0" fontId="48" fillId="0" borderId="0" xfId="0" applyFont="1" applyAlignment="1">
      <alignment vertical="center"/>
    </xf>
    <xf numFmtId="168" fontId="0" fillId="0" borderId="0" xfId="0" applyNumberFormat="1"/>
    <xf numFmtId="9" fontId="2" fillId="0" borderId="0" xfId="3" applyFont="1" applyFill="1" applyBorder="1" applyAlignment="1">
      <alignment horizontal="left" indent="1"/>
    </xf>
    <xf numFmtId="167" fontId="7" fillId="3" borderId="0" xfId="0" applyNumberFormat="1" applyFont="1" applyFill="1" applyAlignment="1">
      <alignment horizontal="left" vertical="top" wrapText="1"/>
    </xf>
    <xf numFmtId="165" fontId="18" fillId="0" borderId="0" xfId="0" applyNumberFormat="1" applyFont="1" applyAlignment="1">
      <alignment vertical="center"/>
    </xf>
    <xf numFmtId="0" fontId="0" fillId="0" borderId="0" xfId="0" applyAlignment="1">
      <alignment horizontal="left" vertical="top" wrapText="1"/>
    </xf>
    <xf numFmtId="0" fontId="7" fillId="0" borderId="0" xfId="0" applyFont="1" applyAlignment="1">
      <alignment vertical="top"/>
    </xf>
    <xf numFmtId="0" fontId="16" fillId="0" borderId="0" xfId="0" applyFont="1" applyAlignment="1">
      <alignment horizontal="left" vertical="top" wrapText="1"/>
    </xf>
    <xf numFmtId="0" fontId="18" fillId="0" borderId="0" xfId="0" applyFont="1" applyAlignment="1">
      <alignment horizontal="left" vertical="top" wrapText="1"/>
    </xf>
    <xf numFmtId="0" fontId="10" fillId="5" borderId="3" xfId="0" applyFont="1" applyFill="1" applyBorder="1" applyAlignment="1">
      <alignment horizontal="left" wrapText="1"/>
    </xf>
    <xf numFmtId="0" fontId="0" fillId="0" borderId="0" xfId="0" applyAlignment="1">
      <alignment horizontal="left" vertical="top" wrapText="1" indent="1"/>
    </xf>
    <xf numFmtId="0" fontId="21" fillId="0" borderId="0" xfId="0" applyFont="1" applyAlignment="1">
      <alignment horizontal="left" vertical="top" wrapText="1"/>
    </xf>
    <xf numFmtId="0" fontId="32" fillId="5" borderId="3" xfId="0" applyFont="1" applyFill="1" applyBorder="1" applyAlignment="1">
      <alignment horizontal="left" wrapText="1"/>
    </xf>
    <xf numFmtId="0" fontId="7" fillId="5" borderId="3" xfId="0" applyFont="1" applyFill="1" applyBorder="1" applyAlignment="1">
      <alignment horizontal="left" wrapText="1"/>
    </xf>
    <xf numFmtId="0" fontId="4" fillId="0" borderId="0" xfId="0" applyFont="1" applyAlignment="1">
      <alignment horizontal="left" vertical="center" wrapText="1"/>
    </xf>
  </cellXfs>
  <cellStyles count="4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opLeftCell="A17" zoomScaleNormal="100" zoomScalePageLayoutView="190" workbookViewId="0">
      <selection activeCell="G13" sqref="G13"/>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12" ht="18" hidden="1" x14ac:dyDescent="0.25">
      <c r="A1" s="12" t="s">
        <v>17</v>
      </c>
      <c r="B1" s="13"/>
      <c r="C1" s="13"/>
      <c r="D1" s="14"/>
      <c r="E1" s="13"/>
      <c r="F1" s="13"/>
      <c r="G1" s="15"/>
      <c r="H1" s="16"/>
    </row>
    <row r="2" spans="1:12" ht="12" hidden="1" customHeight="1" x14ac:dyDescent="0.2">
      <c r="A2" s="19"/>
      <c r="B2" s="20"/>
      <c r="C2" s="20"/>
      <c r="D2" s="20"/>
      <c r="E2" s="21"/>
      <c r="F2" s="21"/>
      <c r="G2" s="21"/>
      <c r="I2"/>
      <c r="K2"/>
    </row>
    <row r="3" spans="1:12" ht="12" hidden="1" customHeight="1" x14ac:dyDescent="0.2">
      <c r="B3" s="22"/>
      <c r="I3"/>
      <c r="K3"/>
    </row>
    <row r="4" spans="1:12" ht="27.75" customHeight="1" x14ac:dyDescent="0.25">
      <c r="B4" s="22"/>
      <c r="C4" s="24" t="s">
        <v>79</v>
      </c>
      <c r="D4"/>
      <c r="F4" s="25" t="s">
        <v>19</v>
      </c>
      <c r="G4" s="26"/>
      <c r="I4"/>
      <c r="K4"/>
    </row>
    <row r="5" spans="1:12" ht="147" customHeight="1" x14ac:dyDescent="0.2">
      <c r="B5" s="22"/>
      <c r="C5" s="209" t="s">
        <v>62</v>
      </c>
      <c r="D5" s="209"/>
      <c r="E5" s="209"/>
      <c r="F5" s="209"/>
      <c r="G5" s="209"/>
      <c r="H5" s="209"/>
      <c r="I5" s="209"/>
      <c r="K5"/>
      <c r="L5" s="23"/>
    </row>
    <row r="6" spans="1:12" ht="39" customHeight="1" x14ac:dyDescent="0.2">
      <c r="B6" s="22"/>
      <c r="C6" s="210" t="s">
        <v>73</v>
      </c>
      <c r="D6" s="210"/>
      <c r="E6" s="210"/>
      <c r="F6" s="210"/>
      <c r="G6" s="210"/>
      <c r="I6"/>
      <c r="K6"/>
    </row>
    <row r="7" spans="1:12" x14ac:dyDescent="0.2">
      <c r="A7" s="27" t="s">
        <v>42</v>
      </c>
      <c r="D7" s="28" t="s">
        <v>4</v>
      </c>
      <c r="I7"/>
      <c r="K7"/>
    </row>
    <row r="8" spans="1:12" x14ac:dyDescent="0.2">
      <c r="A8" s="22"/>
      <c r="I8" s="29" t="s">
        <v>63</v>
      </c>
      <c r="K8"/>
    </row>
    <row r="9" spans="1:12" x14ac:dyDescent="0.2">
      <c r="B9" s="30"/>
      <c r="C9" s="1" t="s">
        <v>23</v>
      </c>
      <c r="D9" s="31"/>
      <c r="E9" s="30"/>
      <c r="F9" s="32"/>
      <c r="G9" s="7">
        <v>0.04</v>
      </c>
      <c r="I9" s="33" t="s">
        <v>85</v>
      </c>
      <c r="K9"/>
    </row>
    <row r="10" spans="1:12" x14ac:dyDescent="0.2">
      <c r="B10" s="30"/>
      <c r="C10" s="1" t="s">
        <v>16</v>
      </c>
      <c r="D10" s="31"/>
      <c r="E10" s="30"/>
      <c r="F10" s="32"/>
      <c r="G10" s="8">
        <v>1.4999999999999999E-2</v>
      </c>
      <c r="I10" s="33" t="s">
        <v>85</v>
      </c>
      <c r="K10"/>
    </row>
    <row r="11" spans="1:12" x14ac:dyDescent="0.2">
      <c r="B11" s="30"/>
      <c r="C11" s="1" t="s">
        <v>25</v>
      </c>
      <c r="D11" s="31"/>
      <c r="E11" s="32"/>
      <c r="F11" s="32"/>
      <c r="G11" s="8">
        <v>4.0000000000000001E-3</v>
      </c>
      <c r="I11" s="33" t="s">
        <v>85</v>
      </c>
      <c r="K11"/>
    </row>
    <row r="12" spans="1:12" ht="12.75" customHeight="1" x14ac:dyDescent="0.2">
      <c r="B12" s="30"/>
      <c r="C12" s="1" t="s">
        <v>86</v>
      </c>
      <c r="D12" s="31"/>
      <c r="E12" s="32"/>
      <c r="F12" s="32"/>
      <c r="G12" s="3">
        <v>18995</v>
      </c>
      <c r="I12" s="33" t="s">
        <v>64</v>
      </c>
      <c r="K12"/>
    </row>
    <row r="13" spans="1:12" x14ac:dyDescent="0.2">
      <c r="D13"/>
      <c r="I13" s="33"/>
      <c r="K13"/>
    </row>
    <row r="14" spans="1:12" x14ac:dyDescent="0.2">
      <c r="A14" s="22" t="s">
        <v>32</v>
      </c>
      <c r="E14" s="34"/>
      <c r="I14" s="33"/>
      <c r="K14"/>
    </row>
    <row r="15" spans="1:12" x14ac:dyDescent="0.2">
      <c r="E15" s="34"/>
      <c r="I15" s="33"/>
      <c r="K15"/>
    </row>
    <row r="16" spans="1:12" x14ac:dyDescent="0.2">
      <c r="B16" s="35"/>
      <c r="C16" s="35" t="s">
        <v>27</v>
      </c>
      <c r="E16" s="34"/>
      <c r="G16" s="2">
        <v>1522670.55</v>
      </c>
      <c r="I16" s="33" t="s">
        <v>65</v>
      </c>
      <c r="K16"/>
    </row>
    <row r="17" spans="1:11" x14ac:dyDescent="0.2">
      <c r="B17" s="35"/>
      <c r="C17" s="35" t="s">
        <v>31</v>
      </c>
      <c r="E17" s="34"/>
      <c r="G17" s="2">
        <v>0</v>
      </c>
      <c r="I17" s="33" t="s">
        <v>66</v>
      </c>
      <c r="K17"/>
    </row>
    <row r="18" spans="1:11" ht="15" customHeight="1" x14ac:dyDescent="0.2">
      <c r="B18" s="35"/>
      <c r="C18" s="35" t="s">
        <v>28</v>
      </c>
      <c r="D18" s="36" t="s">
        <v>2</v>
      </c>
      <c r="E18" s="37">
        <v>450000</v>
      </c>
      <c r="F18" s="38"/>
      <c r="G18" s="39">
        <f>SUM(G16:G17)</f>
        <v>1522670.55</v>
      </c>
      <c r="H18" s="23"/>
      <c r="I18" s="40"/>
      <c r="K18"/>
    </row>
    <row r="19" spans="1:11" ht="15" customHeight="1" x14ac:dyDescent="0.2">
      <c r="B19" s="35"/>
      <c r="C19" s="35" t="s">
        <v>26</v>
      </c>
      <c r="D19" s="36"/>
      <c r="E19" s="37"/>
      <c r="F19" s="38"/>
      <c r="G19" s="2">
        <v>1065869.3899999999</v>
      </c>
      <c r="H19" s="23"/>
      <c r="I19" s="33" t="s">
        <v>67</v>
      </c>
      <c r="K19"/>
    </row>
    <row r="20" spans="1:11" ht="15" customHeight="1" x14ac:dyDescent="0.2">
      <c r="B20" s="35"/>
      <c r="C20" s="35" t="s">
        <v>20</v>
      </c>
      <c r="D20" s="36"/>
      <c r="E20" s="37"/>
      <c r="F20" s="38"/>
      <c r="G20" s="39">
        <f>G18-G19</f>
        <v>456801.16000000015</v>
      </c>
      <c r="H20" s="23"/>
      <c r="I20" s="40"/>
      <c r="K20"/>
    </row>
    <row r="21" spans="1:11" ht="15" customHeight="1" x14ac:dyDescent="0.2">
      <c r="B21" s="35"/>
      <c r="C21" s="35" t="s">
        <v>6</v>
      </c>
      <c r="D21" s="36" t="s">
        <v>1</v>
      </c>
      <c r="E21" s="41">
        <v>30</v>
      </c>
      <c r="F21" s="38"/>
      <c r="G21" s="42">
        <v>30</v>
      </c>
      <c r="I21" s="40"/>
      <c r="K21"/>
    </row>
    <row r="22" spans="1:11" ht="15" customHeight="1" x14ac:dyDescent="0.2">
      <c r="B22" s="35"/>
      <c r="C22" s="43" t="s">
        <v>7</v>
      </c>
      <c r="D22" s="44" t="s">
        <v>8</v>
      </c>
      <c r="E22" s="45">
        <f>E18/E21</f>
        <v>15000</v>
      </c>
      <c r="F22" s="38"/>
      <c r="G22" s="45">
        <f>G20/G21</f>
        <v>15226.705333333339</v>
      </c>
      <c r="I22" s="40"/>
      <c r="K22"/>
    </row>
    <row r="23" spans="1:11" ht="15" customHeight="1" x14ac:dyDescent="0.2">
      <c r="B23" s="35"/>
      <c r="C23" s="35" t="s">
        <v>10</v>
      </c>
      <c r="D23" s="36" t="s">
        <v>3</v>
      </c>
      <c r="E23" s="46">
        <v>0.1</v>
      </c>
      <c r="F23" s="38"/>
      <c r="G23" s="47">
        <f>G9</f>
        <v>0.04</v>
      </c>
      <c r="I23" s="40"/>
      <c r="K23"/>
    </row>
    <row r="24" spans="1:11" ht="15" customHeight="1" x14ac:dyDescent="0.2">
      <c r="B24" s="35"/>
      <c r="C24" s="43" t="s">
        <v>9</v>
      </c>
      <c r="D24" s="44" t="s">
        <v>8</v>
      </c>
      <c r="E24" s="45">
        <f>E18/2*E23</f>
        <v>22500</v>
      </c>
      <c r="F24" s="38"/>
      <c r="G24" s="45">
        <f>G20/2*G23</f>
        <v>9136.0232000000033</v>
      </c>
      <c r="I24" s="40"/>
      <c r="K24"/>
    </row>
    <row r="25" spans="1:11" ht="15" customHeight="1" x14ac:dyDescent="0.2">
      <c r="B25" s="35"/>
      <c r="C25" s="35" t="s">
        <v>5</v>
      </c>
      <c r="D25" s="36" t="s">
        <v>14</v>
      </c>
      <c r="E25" s="48">
        <v>10080</v>
      </c>
      <c r="F25" s="38"/>
      <c r="G25" s="49">
        <f>G18*$G$10</f>
        <v>22840.058249999998</v>
      </c>
      <c r="I25" s="40"/>
      <c r="K25"/>
    </row>
    <row r="26" spans="1:11" ht="15" customHeight="1" x14ac:dyDescent="0.2">
      <c r="B26" s="35"/>
      <c r="C26" s="35" t="s">
        <v>18</v>
      </c>
      <c r="D26" s="36" t="s">
        <v>12</v>
      </c>
      <c r="E26" s="48">
        <v>225</v>
      </c>
      <c r="F26" s="38"/>
      <c r="G26" s="49">
        <f>G18/G21*$G$11</f>
        <v>203.02274000000003</v>
      </c>
      <c r="I26" s="40"/>
      <c r="K26"/>
    </row>
    <row r="27" spans="1:11" ht="13.5" thickBot="1" x14ac:dyDescent="0.25">
      <c r="B27" s="35"/>
      <c r="C27" s="50" t="s">
        <v>0</v>
      </c>
      <c r="D27" s="51"/>
      <c r="E27" s="50">
        <f>E22+E24+E25+E26</f>
        <v>47805</v>
      </c>
      <c r="F27" s="38"/>
      <c r="G27" s="50">
        <f>G22+G24+G25+G26</f>
        <v>47405.809523333344</v>
      </c>
      <c r="I27" s="40"/>
      <c r="K27"/>
    </row>
    <row r="28" spans="1:11" ht="13.5" thickTop="1" x14ac:dyDescent="0.2">
      <c r="B28" s="35"/>
      <c r="C28" s="45"/>
      <c r="D28" s="51"/>
      <c r="E28" s="45"/>
      <c r="F28" s="38"/>
      <c r="G28" s="45"/>
      <c r="I28" s="40"/>
      <c r="K28"/>
    </row>
    <row r="29" spans="1:11" x14ac:dyDescent="0.2">
      <c r="D29"/>
      <c r="I29" s="40"/>
      <c r="K29"/>
    </row>
    <row r="30" spans="1:11" ht="12.95" customHeight="1" x14ac:dyDescent="0.2">
      <c r="A30" s="22" t="s">
        <v>47</v>
      </c>
      <c r="D30" s="14"/>
      <c r="F30" s="38"/>
      <c r="I30" s="40"/>
      <c r="K30"/>
    </row>
    <row r="31" spans="1:11" ht="12.95" customHeight="1" x14ac:dyDescent="0.2">
      <c r="D31" s="14"/>
      <c r="F31" s="38"/>
      <c r="I31" s="40"/>
      <c r="K31"/>
    </row>
    <row r="32" spans="1:11" ht="12.95" customHeight="1" x14ac:dyDescent="0.2">
      <c r="B32" s="45"/>
      <c r="C32" s="45" t="s">
        <v>45</v>
      </c>
      <c r="D32" s="45"/>
      <c r="E32" s="45"/>
      <c r="F32" s="45"/>
      <c r="G32" s="4">
        <v>0</v>
      </c>
      <c r="I32" s="33" t="s">
        <v>68</v>
      </c>
      <c r="K32"/>
    </row>
    <row r="33" spans="2:11" ht="12.95" customHeight="1" x14ac:dyDescent="0.2">
      <c r="D33" s="14"/>
      <c r="F33" s="38"/>
      <c r="I33" s="40"/>
      <c r="K33"/>
    </row>
    <row r="34" spans="2:11" ht="12.95" customHeight="1" thickBot="1" x14ac:dyDescent="0.25">
      <c r="B34" s="52" t="s">
        <v>41</v>
      </c>
      <c r="C34" s="52"/>
      <c r="D34" s="14"/>
      <c r="F34" s="38"/>
      <c r="G34" s="53">
        <f>SUM(G32+G27)</f>
        <v>47405.809523333344</v>
      </c>
      <c r="I34" s="40"/>
      <c r="K34"/>
    </row>
    <row r="35" spans="2:11" ht="13.5" thickTop="1" x14ac:dyDescent="0.2">
      <c r="D35" s="14"/>
      <c r="F35" s="38"/>
      <c r="I35" s="40"/>
      <c r="K35"/>
    </row>
    <row r="36" spans="2:11" x14ac:dyDescent="0.2">
      <c r="B36" s="54" t="s">
        <v>33</v>
      </c>
      <c r="C36" s="55"/>
      <c r="D36" s="56"/>
      <c r="E36" s="55"/>
      <c r="F36" s="38"/>
      <c r="G36" s="55"/>
      <c r="I36" s="40"/>
      <c r="K36"/>
    </row>
    <row r="37" spans="2:11" x14ac:dyDescent="0.2">
      <c r="B37" s="55"/>
      <c r="C37" s="55" t="s">
        <v>50</v>
      </c>
      <c r="D37" s="56"/>
      <c r="E37" s="57">
        <v>6</v>
      </c>
      <c r="F37" s="38"/>
      <c r="G37" s="5">
        <v>1</v>
      </c>
      <c r="I37" s="33" t="s">
        <v>69</v>
      </c>
      <c r="K37"/>
    </row>
    <row r="38" spans="2:11" ht="12" customHeight="1" x14ac:dyDescent="0.2">
      <c r="B38" s="55"/>
      <c r="C38" s="55" t="s">
        <v>51</v>
      </c>
      <c r="D38" s="56"/>
      <c r="E38" s="57"/>
      <c r="F38" s="38"/>
      <c r="G38" s="5">
        <v>0</v>
      </c>
      <c r="I38" s="33" t="s">
        <v>70</v>
      </c>
      <c r="K38"/>
    </row>
    <row r="39" spans="2:11" x14ac:dyDescent="0.2">
      <c r="B39" s="55"/>
      <c r="C39" s="55" t="s">
        <v>52</v>
      </c>
      <c r="D39" s="56"/>
      <c r="E39" s="57">
        <v>2</v>
      </c>
      <c r="F39" s="38"/>
      <c r="G39" s="58">
        <f>IF(G41=0,1,0)</f>
        <v>1</v>
      </c>
      <c r="I39" s="40"/>
      <c r="K39"/>
    </row>
    <row r="40" spans="2:11" x14ac:dyDescent="0.2">
      <c r="B40" s="55"/>
      <c r="C40" s="59" t="s">
        <v>53</v>
      </c>
      <c r="D40" s="56"/>
      <c r="E40" s="57"/>
      <c r="F40" s="38"/>
      <c r="G40" s="57">
        <f>IF(SUM(G37:G39)&lt;&gt;0,SUM(G37:G39),1)</f>
        <v>2</v>
      </c>
      <c r="I40" s="40"/>
      <c r="K40"/>
    </row>
    <row r="41" spans="2:11" x14ac:dyDescent="0.2">
      <c r="B41" s="55"/>
      <c r="C41" s="55" t="s">
        <v>54</v>
      </c>
      <c r="D41" s="56"/>
      <c r="E41" s="57">
        <v>2</v>
      </c>
      <c r="F41" s="38"/>
      <c r="G41" s="6">
        <v>0</v>
      </c>
      <c r="I41" s="33" t="s">
        <v>88</v>
      </c>
      <c r="K41"/>
    </row>
    <row r="42" spans="2:11" x14ac:dyDescent="0.2">
      <c r="I42" s="40"/>
    </row>
    <row r="43" spans="2:11" x14ac:dyDescent="0.2">
      <c r="D43" s="14"/>
      <c r="F43" s="38"/>
      <c r="G43" s="60"/>
      <c r="I43" s="40"/>
      <c r="K43"/>
    </row>
    <row r="44" spans="2:11" ht="26.25" customHeight="1" thickBot="1" x14ac:dyDescent="0.25">
      <c r="B44" s="211" t="s">
        <v>34</v>
      </c>
      <c r="C44" s="211"/>
      <c r="D44" s="61"/>
      <c r="E44" s="53" t="e">
        <f>#REF!/(E37+E39)/E41</f>
        <v>#REF!</v>
      </c>
      <c r="F44" s="38"/>
      <c r="G44" s="53">
        <f>IF(G41&gt;0,(G34/G40/G41), G34/G40)</f>
        <v>23702.904761666672</v>
      </c>
      <c r="I44" s="40"/>
    </row>
    <row r="45" spans="2:11" ht="12.95" hidden="1" customHeight="1" thickTop="1" x14ac:dyDescent="0.2">
      <c r="B45" s="62"/>
      <c r="C45" s="62"/>
      <c r="D45" s="62"/>
      <c r="E45" s="63"/>
      <c r="F45" s="38"/>
      <c r="G45" s="63"/>
      <c r="I45" s="40"/>
      <c r="K45"/>
    </row>
    <row r="46" spans="2:11" ht="12.95" hidden="1" customHeight="1" thickTop="1" x14ac:dyDescent="0.2">
      <c r="B46" s="62"/>
      <c r="C46" s="62"/>
      <c r="D46" s="62"/>
      <c r="E46" s="63"/>
      <c r="F46" s="38"/>
      <c r="G46" s="63"/>
      <c r="I46" s="40"/>
      <c r="K46"/>
    </row>
    <row r="47" spans="2:11" ht="12.95" hidden="1" customHeight="1" thickTop="1" x14ac:dyDescent="0.2">
      <c r="B47" s="62"/>
      <c r="C47" s="62"/>
      <c r="D47" s="62"/>
      <c r="E47" s="63"/>
      <c r="F47" s="38"/>
      <c r="G47" s="63"/>
      <c r="I47" s="40"/>
      <c r="K47"/>
    </row>
    <row r="48" spans="2:11" ht="12.95" customHeight="1" thickTop="1" x14ac:dyDescent="0.2">
      <c r="D48"/>
      <c r="I48" s="40"/>
      <c r="K48"/>
    </row>
    <row r="49" spans="1:11" ht="12.95" customHeight="1" x14ac:dyDescent="0.2">
      <c r="A49" s="22" t="s">
        <v>43</v>
      </c>
      <c r="D49" s="14"/>
      <c r="F49" s="38"/>
      <c r="I49" s="40"/>
      <c r="K49"/>
    </row>
    <row r="50" spans="1:11" ht="12.95" customHeight="1" x14ac:dyDescent="0.2">
      <c r="B50" s="64"/>
      <c r="C50" s="65" t="s">
        <v>29</v>
      </c>
      <c r="D50" s="62"/>
      <c r="E50" s="63"/>
      <c r="F50" s="38"/>
      <c r="G50" s="66">
        <f>IF(G41=0,(G44/12), "(im LWL-Preis enthalten)")</f>
        <v>1975.2420634722228</v>
      </c>
      <c r="I50" s="40"/>
      <c r="K50"/>
    </row>
    <row r="51" spans="1:11" ht="12.95" customHeight="1" x14ac:dyDescent="0.2">
      <c r="B51" s="67"/>
      <c r="C51" s="68" t="s">
        <v>22</v>
      </c>
      <c r="D51" s="69"/>
      <c r="E51" s="70"/>
      <c r="F51" s="71"/>
      <c r="G51">
        <f>G12</f>
        <v>18995</v>
      </c>
      <c r="I51" s="40"/>
      <c r="K51"/>
    </row>
    <row r="52" spans="1:11" ht="17.100000000000001" customHeight="1" x14ac:dyDescent="0.25">
      <c r="B52" s="64"/>
      <c r="C52" s="65" t="s">
        <v>30</v>
      </c>
      <c r="D52" s="62"/>
      <c r="E52" s="63"/>
      <c r="F52" s="38"/>
      <c r="G52" s="72">
        <f>IF(G41=0,(G50/G51), "(im LWL-Preis enthalten)")</f>
        <v>0.10398747372846659</v>
      </c>
      <c r="I52" s="40"/>
      <c r="K52"/>
    </row>
    <row r="53" spans="1:11" x14ac:dyDescent="0.2">
      <c r="D53" s="14"/>
      <c r="F53" s="38"/>
      <c r="I53" s="40"/>
      <c r="K53"/>
    </row>
    <row r="54" spans="1:11" x14ac:dyDescent="0.2">
      <c r="D54" s="14"/>
      <c r="F54" s="38"/>
    </row>
    <row r="55" spans="1:11" x14ac:dyDescent="0.2">
      <c r="C55" s="73"/>
      <c r="D55" s="14"/>
      <c r="F55" s="38"/>
    </row>
    <row r="56" spans="1:11" x14ac:dyDescent="0.2">
      <c r="D56" s="14"/>
      <c r="F56" s="38"/>
    </row>
    <row r="57" spans="1:11" x14ac:dyDescent="0.2">
      <c r="D57" s="14"/>
      <c r="F57" s="38"/>
    </row>
    <row r="58" spans="1:11" x14ac:dyDescent="0.2">
      <c r="D58" s="14"/>
      <c r="F58" s="38"/>
    </row>
    <row r="59" spans="1:11" x14ac:dyDescent="0.2">
      <c r="C59" s="73"/>
      <c r="D59" s="14"/>
      <c r="F59" s="38"/>
    </row>
    <row r="60" spans="1:11" x14ac:dyDescent="0.2">
      <c r="D60" s="14"/>
      <c r="F60" s="74"/>
    </row>
    <row r="61" spans="1:11" x14ac:dyDescent="0.2">
      <c r="D61" s="14"/>
      <c r="F61" s="74"/>
    </row>
    <row r="62" spans="1:11" x14ac:dyDescent="0.2">
      <c r="D62" s="14"/>
      <c r="F62" s="74"/>
    </row>
    <row r="63" spans="1:11" x14ac:dyDescent="0.2">
      <c r="D63" s="14"/>
      <c r="F63" s="74"/>
    </row>
    <row r="64" spans="1:11" x14ac:dyDescent="0.2">
      <c r="D64" s="14"/>
      <c r="F64" s="74"/>
    </row>
    <row r="65" spans="4:6" x14ac:dyDescent="0.2">
      <c r="D65" s="75"/>
      <c r="F65" s="75"/>
    </row>
    <row r="66" spans="4:6" x14ac:dyDescent="0.2">
      <c r="D66" s="75"/>
      <c r="F66" s="75"/>
    </row>
    <row r="67" spans="4:6" x14ac:dyDescent="0.2">
      <c r="D67" s="75"/>
      <c r="F67" s="75"/>
    </row>
    <row r="68" spans="4:6" x14ac:dyDescent="0.2">
      <c r="D68" s="14"/>
    </row>
    <row r="69" spans="4:6" x14ac:dyDescent="0.2">
      <c r="D69" s="14"/>
    </row>
    <row r="70" spans="4:6" x14ac:dyDescent="0.2">
      <c r="D70" s="75"/>
      <c r="F70" s="75"/>
    </row>
    <row r="71" spans="4:6" x14ac:dyDescent="0.2">
      <c r="D71" s="75"/>
      <c r="F71" s="75"/>
    </row>
    <row r="72" spans="4:6" x14ac:dyDescent="0.2">
      <c r="D72" s="14"/>
    </row>
    <row r="73" spans="4:6" x14ac:dyDescent="0.2">
      <c r="D73" s="14"/>
    </row>
    <row r="74" spans="4:6" x14ac:dyDescent="0.2">
      <c r="D74" s="75"/>
      <c r="F74" s="75"/>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2"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opLeftCell="A59" zoomScaleNormal="100" zoomScalePageLayoutView="55" workbookViewId="0">
      <selection activeCell="G81" sqref="G81"/>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21" ht="18" hidden="1" x14ac:dyDescent="0.25">
      <c r="A1" s="12" t="s">
        <v>17</v>
      </c>
      <c r="B1" s="13"/>
      <c r="C1" s="13"/>
      <c r="D1" s="14"/>
      <c r="E1" s="13"/>
      <c r="F1" s="13"/>
      <c r="G1" s="15"/>
      <c r="H1" s="16"/>
    </row>
    <row r="2" spans="1:21" ht="12" hidden="1" customHeight="1" x14ac:dyDescent="0.2">
      <c r="A2" s="19"/>
      <c r="B2" s="20"/>
      <c r="C2" s="20"/>
      <c r="D2" s="20"/>
      <c r="E2" s="21"/>
      <c r="F2" s="21"/>
      <c r="G2" s="21"/>
      <c r="I2"/>
      <c r="K2"/>
    </row>
    <row r="3" spans="1:21" ht="12" hidden="1" customHeight="1" x14ac:dyDescent="0.2">
      <c r="B3" s="22"/>
      <c r="I3"/>
      <c r="K3"/>
    </row>
    <row r="4" spans="1:21" ht="27.75" customHeight="1" x14ac:dyDescent="0.25">
      <c r="B4" s="22"/>
      <c r="C4" s="24" t="s">
        <v>80</v>
      </c>
      <c r="D4"/>
      <c r="F4" s="25" t="s">
        <v>19</v>
      </c>
      <c r="G4" s="26"/>
      <c r="I4"/>
      <c r="K4"/>
    </row>
    <row r="5" spans="1:21" ht="147" customHeight="1" x14ac:dyDescent="0.2">
      <c r="B5" s="22"/>
      <c r="C5" s="209" t="s">
        <v>62</v>
      </c>
      <c r="D5" s="209"/>
      <c r="E5" s="209"/>
      <c r="F5" s="209"/>
      <c r="G5" s="209"/>
      <c r="H5" s="209"/>
      <c r="I5" s="209"/>
      <c r="K5"/>
      <c r="L5" s="23"/>
    </row>
    <row r="6" spans="1:21" ht="39" customHeight="1" x14ac:dyDescent="0.2">
      <c r="B6" s="22"/>
      <c r="C6" s="210" t="s">
        <v>84</v>
      </c>
      <c r="D6" s="210"/>
      <c r="E6" s="210"/>
      <c r="F6" s="210"/>
      <c r="G6" s="210"/>
      <c r="I6"/>
      <c r="K6"/>
    </row>
    <row r="7" spans="1:21" x14ac:dyDescent="0.2">
      <c r="A7" s="27" t="s">
        <v>42</v>
      </c>
      <c r="D7" s="28" t="s">
        <v>4</v>
      </c>
      <c r="I7"/>
      <c r="K7"/>
    </row>
    <row r="8" spans="1:21" x14ac:dyDescent="0.2">
      <c r="A8" s="22"/>
      <c r="I8" s="29" t="s">
        <v>63</v>
      </c>
      <c r="K8"/>
    </row>
    <row r="9" spans="1:21" x14ac:dyDescent="0.2">
      <c r="B9" s="97"/>
      <c r="C9" s="98" t="s">
        <v>23</v>
      </c>
      <c r="D9" s="31"/>
      <c r="E9" s="30"/>
      <c r="F9" s="32"/>
      <c r="G9" s="7">
        <f>'Kalkulation Leerrohr'!G9</f>
        <v>0.04</v>
      </c>
      <c r="I9" s="33" t="s">
        <v>85</v>
      </c>
      <c r="K9"/>
    </row>
    <row r="10" spans="1:21" x14ac:dyDescent="0.2">
      <c r="B10" s="97"/>
      <c r="C10" s="98" t="s">
        <v>16</v>
      </c>
      <c r="D10" s="31"/>
      <c r="E10" s="30"/>
      <c r="F10" s="32"/>
      <c r="G10" s="8">
        <f>'Kalkulation Leerrohr'!G10</f>
        <v>1.4999999999999999E-2</v>
      </c>
      <c r="I10" s="33" t="s">
        <v>85</v>
      </c>
      <c r="K10"/>
    </row>
    <row r="11" spans="1:21" x14ac:dyDescent="0.2">
      <c r="B11" s="97"/>
      <c r="C11" s="98" t="s">
        <v>25</v>
      </c>
      <c r="D11" s="31"/>
      <c r="E11" s="32"/>
      <c r="F11" s="32"/>
      <c r="G11" s="8">
        <f>'Kalkulation Leerrohr'!G11</f>
        <v>4.0000000000000001E-3</v>
      </c>
      <c r="I11" s="33" t="s">
        <v>85</v>
      </c>
      <c r="K11"/>
    </row>
    <row r="12" spans="1:21" ht="12.75" customHeight="1" x14ac:dyDescent="0.2">
      <c r="B12" s="97"/>
      <c r="C12" s="1" t="s">
        <v>87</v>
      </c>
      <c r="D12" s="31"/>
      <c r="E12" s="32"/>
      <c r="F12" s="32"/>
      <c r="G12" s="3">
        <f>'Kalkulation Leerrohr'!G12</f>
        <v>18995</v>
      </c>
      <c r="I12" s="213" t="s">
        <v>83</v>
      </c>
      <c r="J12" s="213"/>
      <c r="K12" s="213"/>
      <c r="L12" s="213"/>
      <c r="M12" s="213"/>
      <c r="N12" s="213"/>
      <c r="O12" s="213"/>
      <c r="P12" s="213"/>
      <c r="Q12" s="213"/>
      <c r="R12" s="213"/>
      <c r="S12" s="213"/>
      <c r="T12" s="213"/>
      <c r="U12" s="213"/>
    </row>
    <row r="13" spans="1:21" x14ac:dyDescent="0.2">
      <c r="B13" s="99"/>
      <c r="C13" s="99"/>
      <c r="D13"/>
      <c r="I13" s="213"/>
      <c r="J13" s="213"/>
      <c r="K13" s="213"/>
      <c r="L13" s="213"/>
      <c r="M13" s="213"/>
      <c r="N13" s="213"/>
      <c r="O13" s="213"/>
      <c r="P13" s="213"/>
      <c r="Q13" s="213"/>
      <c r="R13" s="213"/>
      <c r="S13" s="213"/>
      <c r="T13" s="213"/>
      <c r="U13" s="213"/>
    </row>
    <row r="14" spans="1:21" x14ac:dyDescent="0.2">
      <c r="A14" s="108" t="s">
        <v>32</v>
      </c>
      <c r="B14" s="99"/>
      <c r="C14" s="99"/>
      <c r="E14" s="34"/>
      <c r="I14" s="33"/>
      <c r="K14"/>
    </row>
    <row r="15" spans="1:21" x14ac:dyDescent="0.2">
      <c r="B15" s="99"/>
      <c r="C15" s="99"/>
      <c r="E15" s="34"/>
      <c r="I15" s="33"/>
      <c r="K15"/>
    </row>
    <row r="16" spans="1:21" x14ac:dyDescent="0.2">
      <c r="B16" s="100"/>
      <c r="C16" s="100" t="s">
        <v>27</v>
      </c>
      <c r="E16" s="34"/>
      <c r="G16" s="2">
        <f>'Kalkulation Leerrohr'!G16</f>
        <v>1522670.55</v>
      </c>
      <c r="I16" s="33" t="s">
        <v>65</v>
      </c>
      <c r="K16"/>
    </row>
    <row r="17" spans="1:11" x14ac:dyDescent="0.2">
      <c r="B17" s="100"/>
      <c r="C17" s="100" t="s">
        <v>31</v>
      </c>
      <c r="E17" s="34"/>
      <c r="G17" s="2">
        <f>'Kalkulation Leerrohr'!G17</f>
        <v>0</v>
      </c>
      <c r="I17" s="33" t="s">
        <v>66</v>
      </c>
      <c r="K17"/>
    </row>
    <row r="18" spans="1:11" ht="15" customHeight="1" x14ac:dyDescent="0.2">
      <c r="B18" s="100"/>
      <c r="C18" s="100" t="s">
        <v>28</v>
      </c>
      <c r="D18" s="36" t="s">
        <v>2</v>
      </c>
      <c r="E18" s="37">
        <v>450000</v>
      </c>
      <c r="F18" s="38"/>
      <c r="G18" s="130">
        <f>SUM(G16:G17)</f>
        <v>1522670.55</v>
      </c>
      <c r="H18" s="23"/>
      <c r="I18" s="40"/>
      <c r="K18"/>
    </row>
    <row r="19" spans="1:11" ht="15" customHeight="1" x14ac:dyDescent="0.2">
      <c r="B19" s="100"/>
      <c r="C19" s="100" t="s">
        <v>26</v>
      </c>
      <c r="D19" s="36"/>
      <c r="E19" s="37"/>
      <c r="F19" s="38"/>
      <c r="G19" s="2">
        <f>'Kalkulation Leerrohr'!G19</f>
        <v>1065869.3899999999</v>
      </c>
      <c r="H19" s="23"/>
      <c r="I19" s="33" t="s">
        <v>67</v>
      </c>
      <c r="K19"/>
    </row>
    <row r="20" spans="1:11" ht="15" customHeight="1" x14ac:dyDescent="0.2">
      <c r="B20" s="100"/>
      <c r="C20" s="100" t="s">
        <v>20</v>
      </c>
      <c r="D20" s="36"/>
      <c r="E20" s="37"/>
      <c r="F20" s="38"/>
      <c r="G20" s="130">
        <f>G18-G19</f>
        <v>456801.16000000015</v>
      </c>
      <c r="H20" s="23"/>
      <c r="I20" s="40"/>
      <c r="K20"/>
    </row>
    <row r="21" spans="1:11" ht="15" customHeight="1" x14ac:dyDescent="0.2">
      <c r="B21" s="100"/>
      <c r="C21" s="100" t="s">
        <v>6</v>
      </c>
      <c r="D21" s="36" t="s">
        <v>1</v>
      </c>
      <c r="E21" s="41">
        <v>30</v>
      </c>
      <c r="F21" s="38"/>
      <c r="G21" s="131">
        <v>30</v>
      </c>
      <c r="I21" s="40"/>
      <c r="K21"/>
    </row>
    <row r="22" spans="1:11" ht="15" customHeight="1" x14ac:dyDescent="0.2">
      <c r="B22" s="100"/>
      <c r="C22" s="101" t="s">
        <v>7</v>
      </c>
      <c r="D22" s="44" t="s">
        <v>8</v>
      </c>
      <c r="E22" s="45">
        <f>E18/E21</f>
        <v>15000</v>
      </c>
      <c r="F22" s="38"/>
      <c r="G22" s="103">
        <f>G20/G21</f>
        <v>15226.705333333339</v>
      </c>
      <c r="I22" s="40"/>
      <c r="K22"/>
    </row>
    <row r="23" spans="1:11" ht="15" customHeight="1" x14ac:dyDescent="0.2">
      <c r="B23" s="100"/>
      <c r="C23" s="100" t="s">
        <v>10</v>
      </c>
      <c r="D23" s="36" t="s">
        <v>3</v>
      </c>
      <c r="E23" s="46">
        <v>0.1</v>
      </c>
      <c r="F23" s="38"/>
      <c r="G23" s="132">
        <f>G9</f>
        <v>0.04</v>
      </c>
      <c r="I23" s="40"/>
      <c r="K23"/>
    </row>
    <row r="24" spans="1:11" ht="15" customHeight="1" x14ac:dyDescent="0.2">
      <c r="B24" s="100"/>
      <c r="C24" s="101" t="s">
        <v>9</v>
      </c>
      <c r="D24" s="44" t="s">
        <v>8</v>
      </c>
      <c r="E24" s="45">
        <f>E18/2*E23</f>
        <v>22500</v>
      </c>
      <c r="F24" s="38"/>
      <c r="G24" s="103">
        <f>G20/2*G23</f>
        <v>9136.0232000000033</v>
      </c>
      <c r="I24" s="40"/>
      <c r="K24"/>
    </row>
    <row r="25" spans="1:11" ht="15" customHeight="1" x14ac:dyDescent="0.2">
      <c r="B25" s="100"/>
      <c r="C25" s="100" t="s">
        <v>5</v>
      </c>
      <c r="D25" s="36" t="s">
        <v>14</v>
      </c>
      <c r="E25" s="48">
        <v>10080</v>
      </c>
      <c r="F25" s="38"/>
      <c r="G25" s="133">
        <f>G18*$G$10</f>
        <v>22840.058249999998</v>
      </c>
      <c r="I25" s="40"/>
      <c r="K25"/>
    </row>
    <row r="26" spans="1:11" ht="15" customHeight="1" x14ac:dyDescent="0.2">
      <c r="B26" s="100"/>
      <c r="C26" s="100" t="s">
        <v>18</v>
      </c>
      <c r="D26" s="36" t="s">
        <v>12</v>
      </c>
      <c r="E26" s="48">
        <v>225</v>
      </c>
      <c r="F26" s="38"/>
      <c r="G26" s="133">
        <f>G18/G21*$G$11</f>
        <v>203.02274000000003</v>
      </c>
      <c r="I26" s="40"/>
      <c r="K26"/>
    </row>
    <row r="27" spans="1:11" ht="13.5" thickBot="1" x14ac:dyDescent="0.25">
      <c r="B27" s="100"/>
      <c r="C27" s="102" t="s">
        <v>0</v>
      </c>
      <c r="D27" s="51"/>
      <c r="E27" s="50">
        <f>E22+E24+E25+E26</f>
        <v>47805</v>
      </c>
      <c r="F27" s="38"/>
      <c r="G27" s="102">
        <f>G22+G24+G25+G26</f>
        <v>47405.809523333344</v>
      </c>
      <c r="I27" s="40"/>
      <c r="K27"/>
    </row>
    <row r="28" spans="1:11" ht="13.5" thickTop="1" x14ac:dyDescent="0.2">
      <c r="B28" s="100"/>
      <c r="C28" s="103"/>
      <c r="D28" s="51"/>
      <c r="E28" s="45"/>
      <c r="F28" s="38"/>
      <c r="G28" s="103"/>
      <c r="I28" s="40"/>
      <c r="K28"/>
    </row>
    <row r="29" spans="1:11" x14ac:dyDescent="0.2">
      <c r="B29" s="99"/>
      <c r="C29" s="99"/>
      <c r="D29"/>
      <c r="I29" s="40"/>
      <c r="K29"/>
    </row>
    <row r="30" spans="1:11" ht="12.95" customHeight="1" x14ac:dyDescent="0.2">
      <c r="A30" s="108" t="s">
        <v>47</v>
      </c>
      <c r="B30" s="99"/>
      <c r="C30" s="99"/>
      <c r="D30" s="109"/>
      <c r="E30" s="99"/>
      <c r="F30" s="110"/>
      <c r="G30" s="99"/>
      <c r="I30" s="40"/>
      <c r="K30"/>
    </row>
    <row r="31" spans="1:11" ht="12.95" customHeight="1" x14ac:dyDescent="0.2">
      <c r="A31" s="99"/>
      <c r="B31" s="99"/>
      <c r="C31" s="99"/>
      <c r="D31" s="109"/>
      <c r="E31" s="99"/>
      <c r="F31" s="110"/>
      <c r="G31" s="99"/>
      <c r="I31" s="40"/>
      <c r="K31"/>
    </row>
    <row r="32" spans="1:11" ht="12.95" customHeight="1" x14ac:dyDescent="0.2">
      <c r="A32" s="99"/>
      <c r="B32" s="103"/>
      <c r="C32" s="103" t="s">
        <v>45</v>
      </c>
      <c r="D32" s="103"/>
      <c r="E32" s="103"/>
      <c r="F32" s="103"/>
      <c r="G32" s="111">
        <f>'Kalkulation Leerrohr'!G32</f>
        <v>0</v>
      </c>
      <c r="I32" s="33" t="s">
        <v>68</v>
      </c>
      <c r="K32"/>
    </row>
    <row r="33" spans="1:11" ht="12.95" customHeight="1" x14ac:dyDescent="0.2">
      <c r="A33" s="99"/>
      <c r="B33" s="99"/>
      <c r="C33" s="99"/>
      <c r="D33" s="109"/>
      <c r="E33" s="99"/>
      <c r="F33" s="110"/>
      <c r="G33" s="99"/>
      <c r="I33" s="40"/>
      <c r="K33"/>
    </row>
    <row r="34" spans="1:11" ht="12.95" customHeight="1" thickBot="1" x14ac:dyDescent="0.25">
      <c r="A34" s="99"/>
      <c r="B34" s="104" t="s">
        <v>41</v>
      </c>
      <c r="C34" s="104"/>
      <c r="D34" s="109"/>
      <c r="E34" s="99"/>
      <c r="F34" s="110"/>
      <c r="G34" s="112">
        <f>SUM(G32+G27)</f>
        <v>47405.809523333344</v>
      </c>
      <c r="I34" s="40"/>
      <c r="K34"/>
    </row>
    <row r="35" spans="1:11" ht="13.5" thickTop="1" x14ac:dyDescent="0.2">
      <c r="A35" s="99"/>
      <c r="B35" s="99"/>
      <c r="C35" s="99"/>
      <c r="D35" s="109"/>
      <c r="E35" s="99"/>
      <c r="F35" s="110"/>
      <c r="G35" s="99"/>
      <c r="I35" s="40"/>
      <c r="K35"/>
    </row>
    <row r="36" spans="1:11" x14ac:dyDescent="0.2">
      <c r="A36" s="99"/>
      <c r="B36" s="105" t="s">
        <v>33</v>
      </c>
      <c r="C36" s="106"/>
      <c r="D36" s="113"/>
      <c r="E36" s="106"/>
      <c r="F36" s="110"/>
      <c r="G36" s="106"/>
      <c r="I36" s="40"/>
      <c r="K36"/>
    </row>
    <row r="37" spans="1:11" x14ac:dyDescent="0.2">
      <c r="A37" s="99"/>
      <c r="B37" s="106"/>
      <c r="C37" s="106" t="s">
        <v>50</v>
      </c>
      <c r="D37" s="113"/>
      <c r="E37" s="114">
        <v>6</v>
      </c>
      <c r="F37" s="110"/>
      <c r="G37" s="5">
        <f>'Kalkulation Leerrohr'!G37</f>
        <v>1</v>
      </c>
      <c r="I37" s="33" t="s">
        <v>69</v>
      </c>
      <c r="K37"/>
    </row>
    <row r="38" spans="1:11" ht="12" customHeight="1" x14ac:dyDescent="0.2">
      <c r="A38" s="99"/>
      <c r="B38" s="106"/>
      <c r="C38" s="106" t="s">
        <v>51</v>
      </c>
      <c r="D38" s="113"/>
      <c r="E38" s="114"/>
      <c r="F38" s="110"/>
      <c r="G38" s="5">
        <f>'Kalkulation Leerrohr'!G38</f>
        <v>0</v>
      </c>
      <c r="I38" s="33" t="s">
        <v>70</v>
      </c>
      <c r="K38"/>
    </row>
    <row r="39" spans="1:11" x14ac:dyDescent="0.2">
      <c r="A39" s="99"/>
      <c r="B39" s="106"/>
      <c r="C39" s="106" t="s">
        <v>52</v>
      </c>
      <c r="D39" s="113"/>
      <c r="E39" s="114">
        <v>2</v>
      </c>
      <c r="F39" s="110"/>
      <c r="G39" s="115">
        <f>IF(G41=0,1,0)</f>
        <v>0</v>
      </c>
      <c r="I39" s="40"/>
      <c r="K39"/>
    </row>
    <row r="40" spans="1:11" x14ac:dyDescent="0.2">
      <c r="A40" s="99"/>
      <c r="B40" s="106"/>
      <c r="C40" s="107" t="s">
        <v>53</v>
      </c>
      <c r="D40" s="113"/>
      <c r="E40" s="114"/>
      <c r="F40" s="110"/>
      <c r="G40" s="114">
        <f>IF(SUM(G37:G39)&lt;&gt;0,SUM(G37:G39),1)</f>
        <v>1</v>
      </c>
      <c r="I40" s="40"/>
      <c r="K40"/>
    </row>
    <row r="41" spans="1:11" x14ac:dyDescent="0.2">
      <c r="A41" s="99"/>
      <c r="B41" s="106"/>
      <c r="C41" s="106" t="s">
        <v>54</v>
      </c>
      <c r="D41" s="113"/>
      <c r="E41" s="114">
        <v>2</v>
      </c>
      <c r="F41" s="110"/>
      <c r="G41" s="6">
        <v>1</v>
      </c>
      <c r="I41" s="33" t="s">
        <v>89</v>
      </c>
      <c r="K41"/>
    </row>
    <row r="42" spans="1:11" x14ac:dyDescent="0.2">
      <c r="A42" s="99"/>
      <c r="B42" s="99"/>
      <c r="C42" s="99"/>
      <c r="D42" s="116"/>
      <c r="E42" s="99"/>
      <c r="F42" s="99"/>
      <c r="G42" s="99"/>
      <c r="I42" s="40"/>
    </row>
    <row r="43" spans="1:11" x14ac:dyDescent="0.2">
      <c r="A43" s="99"/>
      <c r="B43" s="99"/>
      <c r="C43" s="99"/>
      <c r="D43" s="109"/>
      <c r="E43" s="99"/>
      <c r="F43" s="110"/>
      <c r="G43" s="117"/>
      <c r="I43" s="40"/>
      <c r="K43"/>
    </row>
    <row r="44" spans="1:11" ht="26.25" customHeight="1" thickBot="1" x14ac:dyDescent="0.25">
      <c r="A44" s="99"/>
      <c r="B44" s="214" t="s">
        <v>34</v>
      </c>
      <c r="C44" s="214"/>
      <c r="D44" s="118"/>
      <c r="E44" s="112" t="e">
        <f>#REF!/(E37+E39)/E41</f>
        <v>#REF!</v>
      </c>
      <c r="F44" s="110"/>
      <c r="G44" s="112">
        <f>IF(G41&gt;0,(G34/G40/G41), G34/G40)</f>
        <v>47405.809523333344</v>
      </c>
      <c r="I44" s="40"/>
    </row>
    <row r="45" spans="1:11" ht="12.95" hidden="1" customHeight="1" thickTop="1" x14ac:dyDescent="0.2">
      <c r="A45" s="99"/>
      <c r="B45" s="119"/>
      <c r="C45" s="119"/>
      <c r="D45" s="119"/>
      <c r="E45" s="120"/>
      <c r="F45" s="110"/>
      <c r="G45" s="120"/>
      <c r="I45" s="40"/>
      <c r="K45"/>
    </row>
    <row r="46" spans="1:11" ht="12.95" hidden="1" customHeight="1" thickTop="1" x14ac:dyDescent="0.2">
      <c r="A46" s="99"/>
      <c r="B46" s="119"/>
      <c r="C46" s="119"/>
      <c r="D46" s="119"/>
      <c r="E46" s="120"/>
      <c r="F46" s="110"/>
      <c r="G46" s="120"/>
      <c r="I46" s="40"/>
      <c r="K46"/>
    </row>
    <row r="47" spans="1:11" ht="12.95" hidden="1" customHeight="1" thickTop="1" x14ac:dyDescent="0.2">
      <c r="A47" s="99"/>
      <c r="B47" s="119"/>
      <c r="C47" s="119"/>
      <c r="D47" s="119"/>
      <c r="E47" s="120"/>
      <c r="F47" s="110"/>
      <c r="G47" s="120"/>
      <c r="I47" s="40"/>
      <c r="K47"/>
    </row>
    <row r="48" spans="1:11" ht="12.95" customHeight="1" thickTop="1" x14ac:dyDescent="0.2">
      <c r="A48" s="99"/>
      <c r="B48" s="99"/>
      <c r="C48" s="99"/>
      <c r="D48" s="99"/>
      <c r="E48" s="99"/>
      <c r="F48" s="99"/>
      <c r="G48" s="99"/>
      <c r="I48" s="40"/>
      <c r="K48"/>
    </row>
    <row r="49" spans="1:11" ht="12.95" customHeight="1" x14ac:dyDescent="0.2">
      <c r="A49" s="108" t="s">
        <v>43</v>
      </c>
      <c r="B49" s="99"/>
      <c r="C49" s="99"/>
      <c r="D49" s="109"/>
      <c r="E49" s="99"/>
      <c r="F49" s="110"/>
      <c r="G49" s="99"/>
      <c r="I49" s="40"/>
      <c r="K49"/>
    </row>
    <row r="50" spans="1:11" ht="12.95" customHeight="1" x14ac:dyDescent="0.2">
      <c r="A50" s="99"/>
      <c r="B50" s="121"/>
      <c r="C50" s="122" t="s">
        <v>29</v>
      </c>
      <c r="D50" s="119"/>
      <c r="E50" s="120"/>
      <c r="F50" s="110"/>
      <c r="G50" s="123" t="str">
        <f>IF(G41=0,(G44/12), "(im LWL-Preis enthalten)")</f>
        <v>(im LWL-Preis enthalten)</v>
      </c>
      <c r="I50" s="40"/>
      <c r="K50"/>
    </row>
    <row r="51" spans="1:11" ht="12.95" customHeight="1" x14ac:dyDescent="0.2">
      <c r="A51" s="99"/>
      <c r="B51" s="124"/>
      <c r="C51" s="125" t="s">
        <v>22</v>
      </c>
      <c r="D51" s="126"/>
      <c r="E51" s="127"/>
      <c r="F51" s="128"/>
      <c r="G51" s="99">
        <f>G12</f>
        <v>18995</v>
      </c>
      <c r="I51" s="40"/>
      <c r="K51"/>
    </row>
    <row r="52" spans="1:11" ht="17.100000000000001" customHeight="1" x14ac:dyDescent="0.25">
      <c r="A52" s="99"/>
      <c r="B52" s="121"/>
      <c r="C52" s="122" t="s">
        <v>30</v>
      </c>
      <c r="D52" s="119"/>
      <c r="E52" s="120"/>
      <c r="F52" s="110"/>
      <c r="G52" s="129" t="str">
        <f>IF(G41=0,(G50/G51), "(im LWL-Preis enthalten)")</f>
        <v>(im LWL-Preis enthalten)</v>
      </c>
      <c r="I52" s="40"/>
      <c r="K52"/>
    </row>
    <row r="53" spans="1:11" x14ac:dyDescent="0.2">
      <c r="D53" s="14"/>
      <c r="F53" s="38"/>
      <c r="I53" s="40"/>
      <c r="K53"/>
    </row>
    <row r="54" spans="1:11" ht="12" hidden="1" customHeight="1" x14ac:dyDescent="0.2">
      <c r="D54" s="14"/>
      <c r="F54" s="38"/>
      <c r="I54" s="40"/>
      <c r="K54"/>
    </row>
    <row r="55" spans="1:11" ht="12.75" customHeight="1" x14ac:dyDescent="0.2">
      <c r="A55" s="22" t="s">
        <v>35</v>
      </c>
      <c r="D55" s="14"/>
      <c r="F55" s="38"/>
      <c r="I55" s="40"/>
      <c r="K55"/>
    </row>
    <row r="56" spans="1:11" x14ac:dyDescent="0.2">
      <c r="A56" s="22"/>
      <c r="D56" s="14"/>
      <c r="F56" s="38"/>
      <c r="I56" s="40"/>
      <c r="K56"/>
    </row>
    <row r="57" spans="1:11" ht="12.75" customHeight="1" x14ac:dyDescent="0.2">
      <c r="B57" s="76" t="s">
        <v>11</v>
      </c>
      <c r="C57" s="35"/>
      <c r="D57" s="36"/>
      <c r="E57" s="35"/>
      <c r="F57" s="38"/>
      <c r="G57" s="35"/>
      <c r="I57" s="40"/>
      <c r="K57"/>
    </row>
    <row r="58" spans="1:11" ht="15" customHeight="1" x14ac:dyDescent="0.2">
      <c r="B58" s="76"/>
      <c r="C58" s="35" t="s">
        <v>36</v>
      </c>
      <c r="D58" s="36" t="s">
        <v>2</v>
      </c>
      <c r="E58" s="37">
        <v>12500</v>
      </c>
      <c r="F58" s="38"/>
      <c r="G58" s="2">
        <v>80921</v>
      </c>
      <c r="I58" s="33" t="s">
        <v>65</v>
      </c>
      <c r="K58"/>
    </row>
    <row r="59" spans="1:11" ht="15" customHeight="1" x14ac:dyDescent="0.2">
      <c r="B59" s="76"/>
      <c r="C59" s="35" t="s">
        <v>37</v>
      </c>
      <c r="D59" s="36"/>
      <c r="E59" s="37"/>
      <c r="F59" s="38"/>
      <c r="G59" s="2" t="s">
        <v>61</v>
      </c>
      <c r="I59" s="33" t="s">
        <v>66</v>
      </c>
      <c r="K59"/>
    </row>
    <row r="60" spans="1:11" ht="15" customHeight="1" x14ac:dyDescent="0.2">
      <c r="B60" s="76"/>
      <c r="C60" s="35" t="s">
        <v>38</v>
      </c>
      <c r="D60" s="36"/>
      <c r="E60" s="37"/>
      <c r="F60" s="38"/>
      <c r="G60" s="39">
        <f>SUM(G58:G59)</f>
        <v>80921</v>
      </c>
      <c r="I60" s="40"/>
      <c r="K60"/>
    </row>
    <row r="61" spans="1:11" ht="15" customHeight="1" x14ac:dyDescent="0.2">
      <c r="B61" s="76"/>
      <c r="C61" s="35" t="s">
        <v>26</v>
      </c>
      <c r="D61" s="36"/>
      <c r="E61" s="37"/>
      <c r="F61" s="38"/>
      <c r="G61" s="2">
        <v>56644.7</v>
      </c>
      <c r="I61" s="33" t="s">
        <v>67</v>
      </c>
      <c r="K61"/>
    </row>
    <row r="62" spans="1:11" ht="15" customHeight="1" x14ac:dyDescent="0.2">
      <c r="B62" s="76"/>
      <c r="C62" s="35" t="s">
        <v>21</v>
      </c>
      <c r="D62" s="36"/>
      <c r="E62" s="35"/>
      <c r="F62" s="38"/>
      <c r="G62" s="39">
        <f>G60-G61</f>
        <v>24276.300000000003</v>
      </c>
      <c r="I62" s="40"/>
      <c r="K62"/>
    </row>
    <row r="63" spans="1:11" ht="15" customHeight="1" x14ac:dyDescent="0.2">
      <c r="B63" s="76"/>
      <c r="C63" s="35" t="s">
        <v>6</v>
      </c>
      <c r="D63" s="36" t="s">
        <v>15</v>
      </c>
      <c r="E63" s="41">
        <v>20</v>
      </c>
      <c r="F63" s="38"/>
      <c r="G63" s="42">
        <v>20</v>
      </c>
      <c r="H63" s="77"/>
      <c r="I63" s="40"/>
      <c r="K63"/>
    </row>
    <row r="64" spans="1:11" ht="15" customHeight="1" x14ac:dyDescent="0.2">
      <c r="B64" s="76"/>
      <c r="C64" s="43" t="s">
        <v>7</v>
      </c>
      <c r="D64" s="44" t="s">
        <v>8</v>
      </c>
      <c r="E64" s="45">
        <f>E58/E63</f>
        <v>625</v>
      </c>
      <c r="F64" s="38"/>
      <c r="G64" s="45">
        <f>G62/G63</f>
        <v>1213.8150000000001</v>
      </c>
      <c r="H64" s="77"/>
      <c r="I64" s="40"/>
      <c r="K64"/>
    </row>
    <row r="65" spans="1:11" ht="15" customHeight="1" x14ac:dyDescent="0.2">
      <c r="B65" s="76"/>
      <c r="C65" s="35" t="s">
        <v>10</v>
      </c>
      <c r="D65" s="36" t="s">
        <v>13</v>
      </c>
      <c r="E65" s="47">
        <f>E23</f>
        <v>0.1</v>
      </c>
      <c r="F65" s="38"/>
      <c r="G65" s="47">
        <f>G23</f>
        <v>0.04</v>
      </c>
      <c r="I65" s="40"/>
      <c r="K65"/>
    </row>
    <row r="66" spans="1:11" ht="15" customHeight="1" x14ac:dyDescent="0.2">
      <c r="B66" s="76"/>
      <c r="C66" s="43" t="s">
        <v>9</v>
      </c>
      <c r="D66" s="44" t="s">
        <v>8</v>
      </c>
      <c r="E66" s="45">
        <f>E58/2*E65</f>
        <v>625</v>
      </c>
      <c r="F66" s="38"/>
      <c r="G66" s="45">
        <f>G62/2*G65</f>
        <v>485.52600000000007</v>
      </c>
      <c r="I66" s="40"/>
      <c r="K66"/>
    </row>
    <row r="67" spans="1:11" ht="15" customHeight="1" x14ac:dyDescent="0.2">
      <c r="B67" s="76"/>
      <c r="C67" s="35" t="s">
        <v>5</v>
      </c>
      <c r="D67" s="36"/>
      <c r="E67" s="48">
        <v>280</v>
      </c>
      <c r="F67" s="38"/>
      <c r="G67" s="49">
        <f>G58*$G$10</f>
        <v>1213.8150000000001</v>
      </c>
      <c r="I67" s="40"/>
      <c r="K67"/>
    </row>
    <row r="68" spans="1:11" ht="13.5" thickBot="1" x14ac:dyDescent="0.25">
      <c r="B68" s="76"/>
      <c r="C68" s="50" t="s">
        <v>0</v>
      </c>
      <c r="D68" s="51"/>
      <c r="E68" s="50">
        <f>E64+E66+E67</f>
        <v>1530</v>
      </c>
      <c r="F68" s="38"/>
      <c r="G68" s="50">
        <f>G64+G66+G67</f>
        <v>2913.1559999999999</v>
      </c>
      <c r="I68" s="40"/>
      <c r="K68"/>
    </row>
    <row r="69" spans="1:11" ht="13.5" thickTop="1" x14ac:dyDescent="0.2">
      <c r="D69"/>
      <c r="I69" s="40"/>
      <c r="K69"/>
    </row>
    <row r="70" spans="1:11" ht="12.95" customHeight="1" x14ac:dyDescent="0.2">
      <c r="A70" s="22" t="s">
        <v>48</v>
      </c>
      <c r="D70" s="14"/>
      <c r="F70" s="38"/>
      <c r="I70" s="40"/>
      <c r="K70"/>
    </row>
    <row r="71" spans="1:11" ht="12.95" customHeight="1" x14ac:dyDescent="0.2">
      <c r="D71" s="14"/>
      <c r="F71" s="38"/>
      <c r="I71" s="40"/>
      <c r="K71"/>
    </row>
    <row r="72" spans="1:11" ht="12.95" customHeight="1" x14ac:dyDescent="0.2">
      <c r="B72" s="45"/>
      <c r="C72" s="45" t="s">
        <v>44</v>
      </c>
      <c r="D72" s="45"/>
      <c r="E72" s="45"/>
      <c r="F72" s="45"/>
      <c r="G72" s="4">
        <v>0</v>
      </c>
      <c r="I72" s="40"/>
      <c r="K72"/>
    </row>
    <row r="73" spans="1:11" ht="12.95" customHeight="1" x14ac:dyDescent="0.2">
      <c r="D73" s="14"/>
      <c r="F73" s="38"/>
      <c r="I73" s="40"/>
      <c r="K73"/>
    </row>
    <row r="74" spans="1:11" ht="12.95" customHeight="1" thickBot="1" x14ac:dyDescent="0.25">
      <c r="B74" s="52" t="s">
        <v>46</v>
      </c>
      <c r="C74" s="52"/>
      <c r="D74" s="14"/>
      <c r="F74" s="38"/>
      <c r="G74" s="53">
        <f>SUM(G72+G68)</f>
        <v>2913.1559999999999</v>
      </c>
      <c r="I74" s="40"/>
      <c r="K74"/>
    </row>
    <row r="75" spans="1:11" ht="13.5" thickTop="1" x14ac:dyDescent="0.2">
      <c r="B75" s="78"/>
      <c r="D75" s="14"/>
      <c r="F75" s="38"/>
      <c r="I75" s="40"/>
      <c r="K75"/>
    </row>
    <row r="76" spans="1:11" ht="27" customHeight="1" thickBot="1" x14ac:dyDescent="0.25">
      <c r="B76" s="211" t="s">
        <v>39</v>
      </c>
      <c r="C76" s="211"/>
      <c r="D76" s="79"/>
      <c r="E76" s="53" t="e">
        <f>E44+E68</f>
        <v>#REF!</v>
      </c>
      <c r="F76" s="38"/>
      <c r="G76" s="80">
        <f>IF($G$41=0,"Kein LWL nachgefragt",(G44+G74))</f>
        <v>50318.965523333347</v>
      </c>
      <c r="I76" s="40"/>
      <c r="K76"/>
    </row>
    <row r="77" spans="1:11" ht="13.5" thickTop="1" x14ac:dyDescent="0.2">
      <c r="B77" s="78"/>
      <c r="D77" s="14"/>
      <c r="F77" s="38"/>
      <c r="I77" s="40"/>
    </row>
    <row r="78" spans="1:11" ht="12.75" customHeight="1" x14ac:dyDescent="0.2">
      <c r="B78" s="54" t="s">
        <v>24</v>
      </c>
      <c r="C78" s="55"/>
      <c r="D78" s="56"/>
      <c r="E78" s="55"/>
      <c r="F78" s="38"/>
      <c r="G78" s="55"/>
      <c r="I78" s="40"/>
    </row>
    <row r="79" spans="1:11" x14ac:dyDescent="0.2">
      <c r="B79" s="55"/>
      <c r="C79" s="55" t="s">
        <v>55</v>
      </c>
      <c r="D79" s="56"/>
      <c r="E79" s="57">
        <v>12</v>
      </c>
      <c r="F79" s="38"/>
      <c r="G79" s="5">
        <v>2</v>
      </c>
      <c r="I79" s="33" t="s">
        <v>71</v>
      </c>
    </row>
    <row r="80" spans="1:11" x14ac:dyDescent="0.2">
      <c r="B80" s="55"/>
      <c r="C80" s="55" t="s">
        <v>56</v>
      </c>
      <c r="D80" s="56"/>
      <c r="E80" s="57">
        <v>12</v>
      </c>
      <c r="F80" s="38"/>
      <c r="G80" s="5">
        <v>0</v>
      </c>
      <c r="I80" s="33" t="s">
        <v>72</v>
      </c>
    </row>
    <row r="81" spans="1:11" x14ac:dyDescent="0.2">
      <c r="B81" s="55"/>
      <c r="C81" s="55" t="s">
        <v>57</v>
      </c>
      <c r="D81" s="56"/>
      <c r="E81" s="57">
        <v>2</v>
      </c>
      <c r="F81" s="38"/>
      <c r="G81" s="58">
        <v>2</v>
      </c>
      <c r="I81" s="40"/>
      <c r="K81"/>
    </row>
    <row r="82" spans="1:11" x14ac:dyDescent="0.2">
      <c r="B82" s="55"/>
      <c r="C82" s="59" t="s">
        <v>58</v>
      </c>
      <c r="D82" s="56"/>
      <c r="E82" s="57"/>
      <c r="F82" s="38"/>
      <c r="G82" s="81">
        <f>SUM(G79:G81)</f>
        <v>4</v>
      </c>
      <c r="I82" s="33" t="s">
        <v>82</v>
      </c>
      <c r="K82"/>
    </row>
    <row r="83" spans="1:11" x14ac:dyDescent="0.2">
      <c r="B83" s="78"/>
      <c r="D83" s="14"/>
      <c r="F83" s="38"/>
      <c r="I83" s="40"/>
    </row>
    <row r="84" spans="1:11" ht="27" customHeight="1" thickBot="1" x14ac:dyDescent="0.25">
      <c r="B84" s="215" t="s">
        <v>49</v>
      </c>
      <c r="C84" s="215"/>
      <c r="D84" s="53"/>
      <c r="E84" s="53" t="e">
        <f>E76/E82</f>
        <v>#REF!</v>
      </c>
      <c r="F84" s="53"/>
      <c r="G84" s="80">
        <f>IF($G$41=0,"Kein LWL nachgefragt",(G76/G82))</f>
        <v>12579.741380833337</v>
      </c>
      <c r="I84" s="40"/>
    </row>
    <row r="85" spans="1:11" ht="13.5" thickTop="1" x14ac:dyDescent="0.2">
      <c r="B85" s="78"/>
      <c r="D85" s="14"/>
      <c r="F85" s="38"/>
      <c r="I85" s="40"/>
    </row>
    <row r="86" spans="1:11" hidden="1" x14ac:dyDescent="0.2">
      <c r="B86" s="78"/>
      <c r="D86" s="14"/>
      <c r="F86" s="38"/>
      <c r="I86" s="40"/>
    </row>
    <row r="87" spans="1:11" x14ac:dyDescent="0.2">
      <c r="A87" s="22" t="s">
        <v>43</v>
      </c>
      <c r="I87" s="40"/>
    </row>
    <row r="88" spans="1:11" hidden="1" x14ac:dyDescent="0.2">
      <c r="B88" s="64"/>
      <c r="C88" s="82" t="s">
        <v>40</v>
      </c>
      <c r="D88" s="83"/>
      <c r="E88" s="84"/>
      <c r="F88" s="85"/>
      <c r="G88" s="86">
        <f>IF($G$41=0,"Kein Kabel im Duct",(G84/12))</f>
        <v>1048.3117817361115</v>
      </c>
      <c r="H88" s="27"/>
      <c r="I88"/>
      <c r="J88" s="27"/>
    </row>
    <row r="89" spans="1:11" x14ac:dyDescent="0.2">
      <c r="A89" s="22"/>
      <c r="B89" s="67"/>
      <c r="C89" s="68" t="s">
        <v>22</v>
      </c>
      <c r="D89" s="87"/>
      <c r="E89" s="88"/>
      <c r="F89" s="67"/>
      <c r="G89" s="89">
        <f>G12</f>
        <v>18995</v>
      </c>
      <c r="I89"/>
      <c r="K89"/>
    </row>
    <row r="90" spans="1:11" x14ac:dyDescent="0.2">
      <c r="B90" s="90"/>
      <c r="C90" s="68" t="s">
        <v>59</v>
      </c>
      <c r="D90" s="91"/>
      <c r="E90" s="67"/>
      <c r="F90" s="71"/>
      <c r="G90" s="92">
        <f>IF($G$41=0,"Kein LWL nachgefragt",(G88/G89))</f>
        <v>5.5188827677605239E-2</v>
      </c>
      <c r="I90"/>
    </row>
    <row r="91" spans="1:11" ht="15.75" x14ac:dyDescent="0.25">
      <c r="B91" s="64"/>
      <c r="C91" s="82" t="s">
        <v>60</v>
      </c>
      <c r="D91" s="83"/>
      <c r="E91" s="84"/>
      <c r="F91" s="85"/>
      <c r="G91" s="72">
        <f>IF($G$41=0,"Kein LWL nachgefragt",G90*G81)</f>
        <v>0.11037765535521048</v>
      </c>
      <c r="I91"/>
    </row>
    <row r="92" spans="1:11" x14ac:dyDescent="0.2">
      <c r="D92" s="14"/>
      <c r="F92" s="38"/>
    </row>
    <row r="93" spans="1:11" x14ac:dyDescent="0.2">
      <c r="D93" s="14"/>
      <c r="F93" s="38"/>
    </row>
    <row r="94" spans="1:11" x14ac:dyDescent="0.2">
      <c r="B94" s="78"/>
      <c r="D94" s="212"/>
      <c r="F94" s="75"/>
    </row>
    <row r="95" spans="1:11" x14ac:dyDescent="0.2">
      <c r="A95" s="93"/>
      <c r="B95" s="93"/>
      <c r="C95" s="73"/>
      <c r="D95" s="212"/>
      <c r="F95" s="75"/>
    </row>
    <row r="96" spans="1:11" x14ac:dyDescent="0.2">
      <c r="A96" s="93"/>
      <c r="B96" s="93"/>
      <c r="C96" s="73"/>
      <c r="D96" s="94"/>
      <c r="F96" s="95"/>
    </row>
    <row r="97" spans="1:6" x14ac:dyDescent="0.2">
      <c r="A97" s="93"/>
      <c r="B97" s="93"/>
      <c r="C97" s="73"/>
      <c r="D97" s="94"/>
      <c r="F97" s="96"/>
    </row>
    <row r="98" spans="1:6" x14ac:dyDescent="0.2">
      <c r="A98" s="93"/>
      <c r="B98" s="93"/>
      <c r="C98" s="73"/>
      <c r="D98" s="94"/>
      <c r="F98" s="96"/>
    </row>
    <row r="99" spans="1:6" x14ac:dyDescent="0.2">
      <c r="A99" s="93"/>
      <c r="B99" s="93"/>
      <c r="C99" s="73"/>
      <c r="D99" s="94"/>
      <c r="F99" s="96"/>
    </row>
    <row r="100" spans="1:6" x14ac:dyDescent="0.2">
      <c r="A100" s="93"/>
      <c r="B100" s="93"/>
      <c r="C100" s="73"/>
      <c r="D100" s="94"/>
      <c r="F100" s="96"/>
    </row>
    <row r="101" spans="1:6" x14ac:dyDescent="0.2">
      <c r="B101" s="22"/>
      <c r="D101" s="14"/>
      <c r="F101" s="38"/>
    </row>
    <row r="102" spans="1:6" x14ac:dyDescent="0.2">
      <c r="D102" s="14"/>
      <c r="F102" s="38"/>
    </row>
    <row r="103" spans="1:6" x14ac:dyDescent="0.2">
      <c r="D103" s="14"/>
      <c r="F103" s="38"/>
    </row>
    <row r="104" spans="1:6" x14ac:dyDescent="0.2">
      <c r="D104" s="14"/>
      <c r="F104" s="38"/>
    </row>
    <row r="105" spans="1:6" x14ac:dyDescent="0.2">
      <c r="C105" s="73"/>
      <c r="D105" s="14"/>
      <c r="F105" s="38"/>
    </row>
    <row r="106" spans="1:6" x14ac:dyDescent="0.2">
      <c r="D106" s="14"/>
      <c r="F106" s="38"/>
    </row>
    <row r="107" spans="1:6" x14ac:dyDescent="0.2">
      <c r="D107" s="14"/>
      <c r="F107" s="38"/>
    </row>
    <row r="108" spans="1:6" x14ac:dyDescent="0.2">
      <c r="D108" s="14"/>
      <c r="F108" s="38"/>
    </row>
    <row r="109" spans="1:6" x14ac:dyDescent="0.2">
      <c r="C109" s="73"/>
      <c r="D109" s="14"/>
      <c r="F109" s="38"/>
    </row>
    <row r="110" spans="1:6" x14ac:dyDescent="0.2">
      <c r="D110" s="14"/>
      <c r="F110" s="74"/>
    </row>
    <row r="111" spans="1:6" x14ac:dyDescent="0.2">
      <c r="D111" s="14"/>
      <c r="F111" s="74"/>
    </row>
    <row r="112" spans="1:6" x14ac:dyDescent="0.2">
      <c r="D112" s="14"/>
      <c r="F112" s="74"/>
    </row>
    <row r="113" spans="4:6" x14ac:dyDescent="0.2">
      <c r="D113" s="14"/>
      <c r="F113" s="74"/>
    </row>
    <row r="114" spans="4:6" x14ac:dyDescent="0.2">
      <c r="D114" s="14"/>
      <c r="F114" s="74"/>
    </row>
    <row r="115" spans="4:6" x14ac:dyDescent="0.2">
      <c r="D115" s="75"/>
      <c r="F115" s="75"/>
    </row>
    <row r="116" spans="4:6" x14ac:dyDescent="0.2">
      <c r="D116" s="75"/>
      <c r="F116" s="75"/>
    </row>
    <row r="117" spans="4:6" x14ac:dyDescent="0.2">
      <c r="D117" s="75"/>
      <c r="F117" s="75"/>
    </row>
    <row r="118" spans="4:6" x14ac:dyDescent="0.2">
      <c r="D118" s="14"/>
    </row>
    <row r="119" spans="4:6" x14ac:dyDescent="0.2">
      <c r="D119" s="14"/>
    </row>
    <row r="120" spans="4:6" x14ac:dyDescent="0.2">
      <c r="D120" s="75"/>
      <c r="F120" s="75"/>
    </row>
    <row r="121" spans="4:6" x14ac:dyDescent="0.2">
      <c r="D121" s="75"/>
      <c r="F121" s="75"/>
    </row>
    <row r="122" spans="4:6" x14ac:dyDescent="0.2">
      <c r="D122" s="14"/>
    </row>
    <row r="123" spans="4:6" x14ac:dyDescent="0.2">
      <c r="D123" s="14"/>
    </row>
    <row r="124" spans="4:6" x14ac:dyDescent="0.2">
      <c r="D124" s="75"/>
      <c r="F124" s="75"/>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2 G16: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abSelected="1" topLeftCell="A4" zoomScaleNormal="100" zoomScalePageLayoutView="57" workbookViewId="0">
      <selection activeCell="G11" sqref="G11"/>
    </sheetView>
  </sheetViews>
  <sheetFormatPr baseColWidth="10" defaultRowHeight="12.75" x14ac:dyDescent="0.2"/>
  <cols>
    <col min="1" max="1" width="2.28515625" customWidth="1"/>
    <col min="2" max="2" width="2.85546875" customWidth="1"/>
    <col min="3" max="3" width="54.85546875" customWidth="1"/>
    <col min="4" max="4" width="10" hidden="1" customWidth="1"/>
    <col min="5" max="5" width="0" hidden="1" customWidth="1"/>
    <col min="6" max="6" width="0.140625" hidden="1" customWidth="1"/>
    <col min="7" max="7" width="31.140625" customWidth="1"/>
    <col min="8" max="8" width="2.140625" customWidth="1"/>
  </cols>
  <sheetData>
    <row r="1" spans="1:12" ht="12.75" hidden="1" customHeight="1" x14ac:dyDescent="0.2"/>
    <row r="2" spans="1:12" ht="12.75" hidden="1" customHeight="1" x14ac:dyDescent="0.2"/>
    <row r="3" spans="1:12" ht="12.75" hidden="1" customHeight="1" x14ac:dyDescent="0.2"/>
    <row r="4" spans="1:12" ht="27.75" customHeight="1" x14ac:dyDescent="0.25">
      <c r="B4" s="22"/>
      <c r="C4" s="24" t="s">
        <v>81</v>
      </c>
      <c r="F4" s="25" t="s">
        <v>19</v>
      </c>
      <c r="G4" s="26"/>
    </row>
    <row r="5" spans="1:12" ht="38.25" customHeight="1" x14ac:dyDescent="0.2">
      <c r="B5" s="22"/>
      <c r="C5" s="209" t="s">
        <v>78</v>
      </c>
      <c r="D5" s="209"/>
      <c r="E5" s="209"/>
      <c r="F5" s="209"/>
      <c r="G5" s="209"/>
      <c r="H5" s="209"/>
      <c r="I5" s="209"/>
      <c r="L5" s="23"/>
    </row>
    <row r="6" spans="1:12" ht="39.75" customHeight="1" x14ac:dyDescent="0.2">
      <c r="B6" s="22"/>
      <c r="C6" s="210" t="s">
        <v>73</v>
      </c>
      <c r="D6" s="210"/>
      <c r="E6" s="210"/>
      <c r="F6" s="210"/>
      <c r="G6" s="210"/>
    </row>
    <row r="7" spans="1:12" ht="25.5" x14ac:dyDescent="0.2">
      <c r="A7" s="27" t="s">
        <v>42</v>
      </c>
      <c r="D7" s="28" t="s">
        <v>4</v>
      </c>
      <c r="H7" s="40"/>
    </row>
    <row r="8" spans="1:12" x14ac:dyDescent="0.2">
      <c r="A8" s="22"/>
      <c r="D8" s="23"/>
      <c r="I8" s="29" t="s">
        <v>63</v>
      </c>
    </row>
    <row r="9" spans="1:12" x14ac:dyDescent="0.2">
      <c r="B9" s="30"/>
      <c r="C9" s="1" t="s">
        <v>74</v>
      </c>
      <c r="D9" s="31"/>
      <c r="E9" s="30"/>
      <c r="F9" s="32"/>
      <c r="G9" s="9"/>
      <c r="I9" s="33"/>
    </row>
    <row r="10" spans="1:12" ht="38.25" x14ac:dyDescent="0.2">
      <c r="B10" s="30"/>
      <c r="C10" s="1" t="s">
        <v>90</v>
      </c>
      <c r="D10" s="31"/>
      <c r="E10" s="30"/>
      <c r="F10" s="32"/>
      <c r="G10" s="10">
        <v>7.1</v>
      </c>
      <c r="I10" s="33"/>
    </row>
    <row r="11" spans="1:12" x14ac:dyDescent="0.2">
      <c r="B11" s="30"/>
      <c r="C11" s="1" t="s">
        <v>75</v>
      </c>
      <c r="D11" s="31"/>
      <c r="E11" s="32"/>
      <c r="F11" s="32"/>
      <c r="G11" s="11">
        <v>15</v>
      </c>
      <c r="I11" s="33"/>
    </row>
    <row r="12" spans="1:12" x14ac:dyDescent="0.2">
      <c r="H12" s="33"/>
    </row>
    <row r="13" spans="1:12" x14ac:dyDescent="0.2">
      <c r="A13" s="22" t="s">
        <v>76</v>
      </c>
      <c r="D13" s="23"/>
      <c r="E13" s="34"/>
      <c r="H13" s="33"/>
    </row>
    <row r="14" spans="1:12" x14ac:dyDescent="0.2">
      <c r="D14" s="23"/>
      <c r="E14" s="34"/>
      <c r="H14" s="33"/>
    </row>
    <row r="15" spans="1:12" ht="13.5" thickBot="1" x14ac:dyDescent="0.25">
      <c r="B15" s="35"/>
      <c r="C15" s="50" t="s">
        <v>77</v>
      </c>
      <c r="D15" s="51"/>
      <c r="E15" s="50" t="e">
        <f>#REF!+#REF!+#REF!+#REF!</f>
        <v>#REF!</v>
      </c>
      <c r="F15" s="38"/>
      <c r="G15" s="50">
        <f>G10*G11</f>
        <v>106.5</v>
      </c>
      <c r="H15" s="40"/>
    </row>
    <row r="16" spans="1:12" ht="13.5" thickTop="1" x14ac:dyDescent="0.2">
      <c r="B16" s="35"/>
      <c r="C16" s="45"/>
      <c r="D16" s="51"/>
      <c r="E16" s="45"/>
      <c r="F16" s="38"/>
      <c r="G16" s="45"/>
      <c r="H16" s="4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3"/>
  <sheetViews>
    <sheetView workbookViewId="0">
      <selection activeCell="J113" sqref="J113"/>
    </sheetView>
  </sheetViews>
  <sheetFormatPr baseColWidth="10" defaultColWidth="9.28515625" defaultRowHeight="12.75" x14ac:dyDescent="0.2"/>
  <cols>
    <col min="1" max="1" width="2.28515625" customWidth="1"/>
    <col min="2" max="2" width="2.7109375" customWidth="1"/>
    <col min="3" max="3" width="48.85546875" customWidth="1"/>
    <col min="4" max="4" width="52.85546875" style="23" customWidth="1"/>
    <col min="5" max="5" width="2.28515625" customWidth="1"/>
    <col min="6" max="6" width="17.42578125" style="136" customWidth="1"/>
    <col min="7" max="7" width="6" style="135" bestFit="1" customWidth="1"/>
    <col min="8" max="8" width="2.42578125" style="136" customWidth="1"/>
    <col min="9" max="9" width="48.7109375" style="137" customWidth="1"/>
    <col min="10" max="10" width="38.140625" bestFit="1" customWidth="1"/>
    <col min="11" max="11" width="10.28515625" style="18" bestFit="1" customWidth="1"/>
    <col min="12" max="12" width="10.28515625" bestFit="1" customWidth="1"/>
    <col min="15" max="15" width="15.28515625" customWidth="1"/>
    <col min="17" max="17" width="10.28515625" bestFit="1" customWidth="1"/>
  </cols>
  <sheetData>
    <row r="1" spans="1:11" ht="27.75" customHeight="1" x14ac:dyDescent="0.25">
      <c r="B1" s="24" t="s">
        <v>91</v>
      </c>
      <c r="E1" s="25"/>
      <c r="F1" s="134"/>
      <c r="J1" s="29" t="s">
        <v>63</v>
      </c>
      <c r="K1"/>
    </row>
    <row r="2" spans="1:11" ht="27.75" customHeight="1" x14ac:dyDescent="0.25">
      <c r="B2" s="24"/>
      <c r="E2" s="25"/>
      <c r="F2" s="134"/>
      <c r="K2"/>
    </row>
    <row r="3" spans="1:11" ht="27.75" customHeight="1" x14ac:dyDescent="0.25">
      <c r="B3" s="24"/>
      <c r="C3" s="216" t="s">
        <v>92</v>
      </c>
      <c r="D3" s="216"/>
      <c r="E3" s="25"/>
      <c r="F3" s="138">
        <v>0</v>
      </c>
      <c r="I3" s="137" t="str">
        <f>"mindestens "&amp;F15*F3&amp;" Haushalte sollen (zukünftig) aufgrund der geplanten Take Up Rate mit Diensten versorgt werden."</f>
        <v>mindestens 0 Haushalte sollen (zukünftig) aufgrund der geplanten Take Up Rate mit Diensten versorgt werden.</v>
      </c>
      <c r="K3"/>
    </row>
    <row r="4" spans="1:11" ht="18" customHeight="1" x14ac:dyDescent="0.25">
      <c r="B4" s="24"/>
      <c r="E4" s="25"/>
      <c r="F4" s="134"/>
      <c r="K4"/>
    </row>
    <row r="5" spans="1:11" ht="18" customHeight="1" x14ac:dyDescent="0.2">
      <c r="A5" s="139" t="s">
        <v>93</v>
      </c>
      <c r="B5" s="140"/>
      <c r="C5" s="141"/>
      <c r="E5" s="25"/>
      <c r="F5" s="134"/>
      <c r="K5"/>
    </row>
    <row r="6" spans="1:11" ht="17.100000000000001" customHeight="1" x14ac:dyDescent="0.2">
      <c r="A6" s="140"/>
      <c r="B6" s="142" t="e">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#DIV/0!</v>
      </c>
      <c r="K6"/>
    </row>
    <row r="8" spans="1:11" ht="17.100000000000001" customHeight="1" x14ac:dyDescent="0.2">
      <c r="A8" s="143" t="s">
        <v>94</v>
      </c>
      <c r="C8" s="144"/>
      <c r="D8" s="28" t="s">
        <v>4</v>
      </c>
      <c r="E8" s="25"/>
      <c r="F8" s="134"/>
      <c r="G8" s="135" t="s">
        <v>95</v>
      </c>
      <c r="I8" s="145" t="s">
        <v>96</v>
      </c>
      <c r="K8"/>
    </row>
    <row r="9" spans="1:11" ht="17.100000000000001" customHeight="1" x14ac:dyDescent="0.2">
      <c r="A9" s="143"/>
      <c r="C9" s="144"/>
      <c r="E9" s="25"/>
      <c r="F9" s="134"/>
      <c r="I9" s="146"/>
      <c r="K9"/>
    </row>
    <row r="10" spans="1:11" ht="17.100000000000001" customHeight="1" x14ac:dyDescent="0.2">
      <c r="A10" s="22"/>
      <c r="B10" s="147" t="s">
        <v>97</v>
      </c>
      <c r="C10" s="27"/>
      <c r="E10" s="25"/>
      <c r="F10" s="134"/>
      <c r="I10" s="146"/>
      <c r="K10"/>
    </row>
    <row r="11" spans="1:11" ht="17.100000000000001" customHeight="1" x14ac:dyDescent="0.2">
      <c r="A11" s="22"/>
      <c r="B11" s="147"/>
      <c r="C11" s="27"/>
      <c r="E11" s="25"/>
      <c r="F11" s="134"/>
      <c r="I11" s="146"/>
      <c r="K11"/>
    </row>
    <row r="12" spans="1:11" ht="17.100000000000001" customHeight="1" x14ac:dyDescent="0.2">
      <c r="B12" s="55"/>
      <c r="C12" s="148" t="s">
        <v>98</v>
      </c>
      <c r="D12" s="149" t="s">
        <v>99</v>
      </c>
      <c r="E12" s="25"/>
      <c r="F12" s="150">
        <v>0</v>
      </c>
      <c r="G12" s="135" t="s">
        <v>100</v>
      </c>
      <c r="I12" s="151" t="str">
        <f>IF(F12&gt;0,"ok","Angabe fehlt!")</f>
        <v>Angabe fehlt!</v>
      </c>
      <c r="K12"/>
    </row>
    <row r="13" spans="1:11" ht="51" x14ac:dyDescent="0.2">
      <c r="B13" s="55"/>
      <c r="C13" s="148" t="s">
        <v>101</v>
      </c>
      <c r="D13" s="149" t="s">
        <v>165</v>
      </c>
      <c r="E13" s="25"/>
      <c r="F13" s="150">
        <v>0</v>
      </c>
      <c r="G13" s="135" t="s">
        <v>100</v>
      </c>
      <c r="I13" s="151" t="str">
        <f>IF(F13&gt;0,IF(F13&lt;$F$12,"Grabung ohne Leerverrohrung?","durchschnittlich "&amp;ROUND(F13/F12,2)&amp;" Rohre pro Grabungsmeter, davon bereits belegt "&amp;(F18+F23)&amp;"m"),"Angabe fehlt!")</f>
        <v>Angabe fehlt!</v>
      </c>
      <c r="K13"/>
    </row>
    <row r="14" spans="1:11" ht="51" x14ac:dyDescent="0.2">
      <c r="B14" s="55"/>
      <c r="C14" s="148" t="s">
        <v>102</v>
      </c>
      <c r="D14" s="149" t="s">
        <v>166</v>
      </c>
      <c r="E14" s="25"/>
      <c r="F14" s="150">
        <v>0</v>
      </c>
      <c r="G14" s="135" t="s">
        <v>100</v>
      </c>
      <c r="I14" s="151" t="str">
        <f>IF(F14&gt;0,IF(F14&lt;F13,"Leerverrohrung ohne Glasfaser?","durchschnittlich "&amp;ROUND(F14/$F$12,2)&amp;" Fasern pro Grabungsmeter, davon bereits genutzt (aktiv od. Reserve) "&amp;(F19+F24)&amp;"m"),"Angabe fehlt!")</f>
        <v>Angabe fehlt!</v>
      </c>
      <c r="K14"/>
    </row>
    <row r="15" spans="1:11" ht="38.25" x14ac:dyDescent="0.2">
      <c r="B15" s="55"/>
      <c r="C15" s="148" t="s">
        <v>103</v>
      </c>
      <c r="D15" s="149" t="s">
        <v>104</v>
      </c>
      <c r="E15" s="25"/>
      <c r="F15" s="150">
        <v>0</v>
      </c>
      <c r="G15" s="135" t="s">
        <v>105</v>
      </c>
      <c r="I15" s="151" t="str">
        <f>IF(F15&gt;0,"durchschnittlich "&amp;ROUND($F$12/F15,2)&amp;"m Graben pro erreichtem Haushalt. Anzahl bereits versorgter Haushalte: "&amp;(F20+F25+F26)&amp;" = "&amp;ROUND((F20+F25+F26)/F15*100,2)&amp;"%."&amp;" Anzahl geplante Anschlüsse: "&amp;ROUNDDOWN(F15*F3,0),"Angabe fehlt!")</f>
        <v>Angabe fehlt!</v>
      </c>
      <c r="K15"/>
    </row>
    <row r="16" spans="1:11" x14ac:dyDescent="0.2">
      <c r="B16" s="136"/>
      <c r="C16" s="27"/>
      <c r="E16" s="27"/>
      <c r="F16" s="23"/>
      <c r="I16" s="151"/>
      <c r="K16"/>
    </row>
    <row r="17" spans="1:11" x14ac:dyDescent="0.2">
      <c r="B17" s="147" t="s">
        <v>106</v>
      </c>
      <c r="C17" s="27"/>
      <c r="E17" s="27"/>
      <c r="F17" s="23"/>
      <c r="I17" s="151"/>
      <c r="K17"/>
    </row>
    <row r="18" spans="1:11" ht="38.25" x14ac:dyDescent="0.2">
      <c r="B18" s="55"/>
      <c r="C18" s="148" t="s">
        <v>107</v>
      </c>
      <c r="D18" s="149" t="s">
        <v>167</v>
      </c>
      <c r="E18" s="25"/>
      <c r="F18" s="150">
        <v>0</v>
      </c>
      <c r="G18" s="135" t="s">
        <v>100</v>
      </c>
      <c r="I18" s="151" t="str">
        <f>IF(F18&gt;0,"Eigennutzung "&amp;ROUND(F18/F13*100,2)&amp;" %","Angabe fehlt!")</f>
        <v>Angabe fehlt!</v>
      </c>
      <c r="K18"/>
    </row>
    <row r="19" spans="1:11" ht="51" x14ac:dyDescent="0.2">
      <c r="B19" s="55"/>
      <c r="C19" s="148" t="s">
        <v>108</v>
      </c>
      <c r="D19" s="149" t="s">
        <v>168</v>
      </c>
      <c r="E19" s="25"/>
      <c r="F19" s="150">
        <v>0</v>
      </c>
      <c r="G19" s="135" t="s">
        <v>100</v>
      </c>
      <c r="I19" s="151" t="str">
        <f>IF(F19&gt;0,"Eigennutzung "&amp;ROUND(F19/$F$14*100,2)&amp;" %","Angabe fehlt!")</f>
        <v>Angabe fehlt!</v>
      </c>
      <c r="K19"/>
    </row>
    <row r="20" spans="1:11" ht="38.25" x14ac:dyDescent="0.2">
      <c r="B20" s="55"/>
      <c r="C20" s="148" t="s">
        <v>109</v>
      </c>
      <c r="D20" s="149" t="s">
        <v>110</v>
      </c>
      <c r="E20" s="25"/>
      <c r="F20" s="150">
        <v>0</v>
      </c>
      <c r="G20" s="135" t="s">
        <v>105</v>
      </c>
      <c r="I20" s="151" t="str">
        <f>IF(F20&gt;0,"(eigene) Take-up Rate "&amp;ROUND(F20/$F$15*100,2)&amp;" %; durchschnittliche Grabungslänge je HH: "&amp;ROUND(F12/F20,2)&amp;"m","keine eigenen Endkunden")</f>
        <v>keine eigenen Endkunden</v>
      </c>
      <c r="K20"/>
    </row>
    <row r="21" spans="1:11" x14ac:dyDescent="0.2">
      <c r="B21" s="136"/>
      <c r="C21" s="27"/>
      <c r="E21" s="27"/>
      <c r="F21" s="23"/>
      <c r="I21" s="151"/>
      <c r="K21"/>
    </row>
    <row r="22" spans="1:11" x14ac:dyDescent="0.2">
      <c r="B22" s="147" t="s">
        <v>111</v>
      </c>
      <c r="C22" s="27"/>
      <c r="E22" s="27"/>
      <c r="F22" s="23"/>
      <c r="I22" s="151"/>
      <c r="K22"/>
    </row>
    <row r="23" spans="1:11" ht="25.5" x14ac:dyDescent="0.2">
      <c r="B23" s="55"/>
      <c r="C23" s="148" t="s">
        <v>112</v>
      </c>
      <c r="D23" s="149" t="s">
        <v>113</v>
      </c>
      <c r="E23" s="25"/>
      <c r="F23" s="150">
        <v>0</v>
      </c>
      <c r="G23" s="135" t="s">
        <v>100</v>
      </c>
      <c r="I23" s="151" t="str">
        <f t="shared" ref="I23:I24" si="0">IF(F23&gt;0,"ok","keine bestehende Mitbenutzung?")</f>
        <v>keine bestehende Mitbenutzung?</v>
      </c>
      <c r="K23"/>
    </row>
    <row r="24" spans="1:11" ht="25.5" x14ac:dyDescent="0.2">
      <c r="B24" s="55"/>
      <c r="C24" s="148" t="s">
        <v>114</v>
      </c>
      <c r="D24" s="149" t="s">
        <v>115</v>
      </c>
      <c r="E24" s="25"/>
      <c r="F24" s="150">
        <v>0</v>
      </c>
      <c r="G24" s="135" t="s">
        <v>100</v>
      </c>
      <c r="I24" s="151" t="str">
        <f t="shared" si="0"/>
        <v>keine bestehende Mitbenutzung?</v>
      </c>
      <c r="K24"/>
    </row>
    <row r="25" spans="1:11" ht="25.5" hidden="1" x14ac:dyDescent="0.2">
      <c r="B25" s="55"/>
      <c r="C25" s="148" t="s">
        <v>169</v>
      </c>
      <c r="D25" s="149" t="s">
        <v>119</v>
      </c>
      <c r="E25" s="25"/>
      <c r="F25" s="150">
        <v>0</v>
      </c>
      <c r="G25" s="135" t="s">
        <v>105</v>
      </c>
      <c r="I25" s="151" t="str">
        <f>IF(F25&gt;0,"ok","keine bestehende Mitbenutzung?")</f>
        <v>keine bestehende Mitbenutzung?</v>
      </c>
      <c r="K25"/>
    </row>
    <row r="26" spans="1:11" ht="25.5" hidden="1" x14ac:dyDescent="0.2">
      <c r="B26" s="55"/>
      <c r="C26" s="148" t="s">
        <v>170</v>
      </c>
      <c r="D26" s="149" t="s">
        <v>119</v>
      </c>
      <c r="E26" s="25"/>
      <c r="F26" s="150">
        <v>0</v>
      </c>
      <c r="G26" s="135" t="s">
        <v>105</v>
      </c>
      <c r="I26" s="151" t="str">
        <f>IF(F26&gt;0,"ok","keine bestehende Mitbenutzung?")</f>
        <v>keine bestehende Mitbenutzung?</v>
      </c>
      <c r="K26"/>
    </row>
    <row r="27" spans="1:11" ht="17.100000000000001" customHeight="1" x14ac:dyDescent="0.2">
      <c r="A27" s="22"/>
      <c r="C27" s="144"/>
      <c r="E27" s="25"/>
      <c r="F27" s="134"/>
      <c r="I27" s="146"/>
      <c r="K27"/>
    </row>
    <row r="28" spans="1:11" ht="17.100000000000001" customHeight="1" x14ac:dyDescent="0.2">
      <c r="A28" s="22"/>
      <c r="C28" s="144"/>
      <c r="E28" s="25"/>
      <c r="F28" s="134"/>
      <c r="I28" s="146"/>
      <c r="K28"/>
    </row>
    <row r="29" spans="1:11" ht="17.100000000000001" customHeight="1" x14ac:dyDescent="0.2">
      <c r="A29" s="22" t="s">
        <v>116</v>
      </c>
      <c r="C29" s="144"/>
      <c r="E29" s="25"/>
      <c r="F29" s="134"/>
      <c r="I29" s="146"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von Teilnehmeranschlüssen auf Aktivebene (VULA)</v>
      </c>
      <c r="K29"/>
    </row>
    <row r="30" spans="1:11" ht="17.100000000000001" customHeight="1" thickBot="1" x14ac:dyDescent="0.25">
      <c r="A30" s="22"/>
      <c r="C30" s="144"/>
      <c r="E30" s="25"/>
      <c r="F30" s="152"/>
      <c r="I30" s="151"/>
      <c r="K30"/>
    </row>
    <row r="31" spans="1:11" ht="17.100000000000001" customHeight="1" x14ac:dyDescent="0.2">
      <c r="A31" s="22"/>
      <c r="B31" s="153" t="s">
        <v>117</v>
      </c>
      <c r="C31" s="154"/>
      <c r="D31" s="155"/>
      <c r="E31" s="25"/>
      <c r="F31" s="156" t="s">
        <v>171</v>
      </c>
      <c r="I31" s="151" t="str">
        <f>IF(F31="ja",IF(OR(F33="ja",F35="ja"),"es kann nur eine Art der Mitbenutzung gewählt werden!","Dies ist die gewählte Art der Mitbenutzung"),IF(F31="nein","nicht gewählt","ja oder nein eintragen!"))</f>
        <v>Dies ist die gewählte Art der Mitbenutzung</v>
      </c>
      <c r="K31"/>
    </row>
    <row r="32" spans="1:11" ht="17.100000000000001" customHeight="1" thickBot="1" x14ac:dyDescent="0.25">
      <c r="A32" s="22"/>
      <c r="B32" s="157"/>
      <c r="C32" s="158" t="s">
        <v>118</v>
      </c>
      <c r="D32" s="159" t="s">
        <v>119</v>
      </c>
      <c r="E32" s="25"/>
      <c r="F32" s="160">
        <v>0</v>
      </c>
      <c r="G32" s="135" t="s">
        <v>105</v>
      </c>
      <c r="I32" s="151" t="str">
        <f>IF($F$33="Ja",IF(F32&gt;0,"ok","Angabe fehlt!"),"keine Angabe erforderlich")</f>
        <v>keine Angabe erforderlich</v>
      </c>
      <c r="K32"/>
    </row>
    <row r="33" spans="1:16" ht="17.100000000000001" customHeight="1" x14ac:dyDescent="0.2">
      <c r="B33" s="153" t="s">
        <v>120</v>
      </c>
      <c r="C33" s="154"/>
      <c r="D33" s="155"/>
      <c r="E33" s="25"/>
      <c r="F33" s="156" t="s">
        <v>172</v>
      </c>
      <c r="I33" s="151" t="str">
        <f>IF(F33="ja",IF(OR(F35="ja",F37="ja"),"es kann nur eine Art der Mitbenutzung gewählt werden!","Dies ist die gewählte Art der Mitbenutzung"),IF(F33="nein","nicht gewählt","ja oder nein eintragen!"))</f>
        <v>nicht gewählt</v>
      </c>
      <c r="K33"/>
    </row>
    <row r="34" spans="1:16" ht="15.75" thickBot="1" x14ac:dyDescent="0.25">
      <c r="B34" s="157"/>
      <c r="C34" s="158" t="s">
        <v>118</v>
      </c>
      <c r="D34" s="159" t="s">
        <v>119</v>
      </c>
      <c r="E34" s="25"/>
      <c r="F34" s="160">
        <v>0</v>
      </c>
      <c r="G34" s="135" t="s">
        <v>105</v>
      </c>
      <c r="I34" s="151" t="str">
        <f>IF($F$33="Ja",IF(F34&gt;0,"ok","Angabe fehlt!"),"keine Angabe erforderlich")</f>
        <v>keine Angabe erforderlich</v>
      </c>
      <c r="K34"/>
    </row>
    <row r="35" spans="1:16" ht="17.100000000000001" customHeight="1" x14ac:dyDescent="0.2">
      <c r="B35" s="153" t="s">
        <v>121</v>
      </c>
      <c r="C35" s="154"/>
      <c r="D35" s="161"/>
      <c r="E35" s="25"/>
      <c r="F35" s="162" t="s">
        <v>172</v>
      </c>
      <c r="I35" s="151" t="str">
        <f>IF(F35="ja",IF(OR(F33="ja",F37="ja"),"es kann nur eine Art der Mitbenutzung gewählt werden!","Dies ist die gewählte Art der Mitbenutzung"),IF(F35="nein","nicht gewählt","ja oder nein eintragen!"))</f>
        <v>nicht gewählt</v>
      </c>
      <c r="K35"/>
    </row>
    <row r="36" spans="1:16" ht="39" thickBot="1" x14ac:dyDescent="0.25">
      <c r="B36" s="157"/>
      <c r="C36" s="158" t="s">
        <v>122</v>
      </c>
      <c r="D36" s="159" t="s">
        <v>173</v>
      </c>
      <c r="E36" s="25"/>
      <c r="F36" s="160">
        <v>0</v>
      </c>
      <c r="G36" s="135" t="s">
        <v>100</v>
      </c>
      <c r="I36" s="151" t="str">
        <f>IF($F$35="Ja",IF(F36&gt;0,"ok","Angabe fehlt!"),"keine Angabe erforderlich")</f>
        <v>keine Angabe erforderlich</v>
      </c>
      <c r="K36"/>
    </row>
    <row r="37" spans="1:16" ht="17.100000000000001" customHeight="1" x14ac:dyDescent="0.2">
      <c r="B37" s="153" t="s">
        <v>123</v>
      </c>
      <c r="C37" s="154"/>
      <c r="D37" s="161"/>
      <c r="E37" s="25"/>
      <c r="F37" s="162" t="s">
        <v>172</v>
      </c>
      <c r="I37" s="151" t="str">
        <f>IF(F37="ja",IF(OR(F35="ja", F33="ja"),"es kann nur eine Art der Mitbenutzung gewählt werden!","Dies ist die gewählte Art der Mitbenutzung"),IF(F37="nein","nicht gewählt","ja oder nein eintragen!"))</f>
        <v>nicht gewählt</v>
      </c>
      <c r="K37"/>
    </row>
    <row r="38" spans="1:16" ht="26.25" thickBot="1" x14ac:dyDescent="0.25">
      <c r="B38" s="163"/>
      <c r="C38" s="158" t="s">
        <v>124</v>
      </c>
      <c r="D38" s="159" t="s">
        <v>174</v>
      </c>
      <c r="E38" s="25"/>
      <c r="F38" s="164">
        <v>0</v>
      </c>
      <c r="G38" s="135" t="s">
        <v>100</v>
      </c>
      <c r="I38" s="151" t="str">
        <f>IF($F$35="Ja",IF(F38&gt;0,"ok","Angabe fehlt!"),"keine Angabe erforderlich")</f>
        <v>keine Angabe erforderlich</v>
      </c>
      <c r="K38"/>
    </row>
    <row r="39" spans="1:16" ht="15" x14ac:dyDescent="0.2">
      <c r="C39" s="23"/>
      <c r="E39" s="25"/>
      <c r="F39" s="134"/>
      <c r="I39" s="151"/>
      <c r="K39"/>
    </row>
    <row r="40" spans="1:16" ht="17.100000000000001" customHeight="1" x14ac:dyDescent="0.2">
      <c r="B40" s="22"/>
      <c r="C40" s="23"/>
      <c r="E40" s="25"/>
      <c r="F40" s="134"/>
      <c r="I40" s="151"/>
      <c r="K40"/>
    </row>
    <row r="41" spans="1:16" x14ac:dyDescent="0.2">
      <c r="A41" s="22" t="s">
        <v>42</v>
      </c>
      <c r="D41"/>
      <c r="I41" s="151"/>
      <c r="K41"/>
    </row>
    <row r="42" spans="1:16" x14ac:dyDescent="0.2">
      <c r="A42" s="22"/>
      <c r="I42" s="151"/>
      <c r="K42"/>
    </row>
    <row r="43" spans="1:16" ht="25.5" x14ac:dyDescent="0.2">
      <c r="B43" s="55"/>
      <c r="C43" s="148" t="s">
        <v>23</v>
      </c>
      <c r="D43" s="149" t="s">
        <v>125</v>
      </c>
      <c r="F43" s="165">
        <v>0.04</v>
      </c>
      <c r="I43" s="151" t="str">
        <f>IF(OR(F43&lt;0,F43&gt;0.08,F43=""),"Wert zwischen 0% und 8% eintragen","ok")</f>
        <v>ok</v>
      </c>
      <c r="J43" s="170" t="s">
        <v>183</v>
      </c>
    </row>
    <row r="44" spans="1:16" x14ac:dyDescent="0.2">
      <c r="B44" s="55"/>
      <c r="C44" s="148" t="s">
        <v>16</v>
      </c>
      <c r="D44" s="149" t="s">
        <v>126</v>
      </c>
      <c r="F44" s="166">
        <v>2.5000000000000001E-2</v>
      </c>
      <c r="I44" s="151" t="str">
        <f>IF(OR(F44&lt;0,F44&gt;0.025,F44=""),"Wert zwischen 0% und 2,5% eintragen","ok")</f>
        <v>ok</v>
      </c>
      <c r="J44" s="170" t="s">
        <v>183</v>
      </c>
      <c r="N44" s="167"/>
      <c r="P44" s="168"/>
    </row>
    <row r="45" spans="1:16" x14ac:dyDescent="0.2">
      <c r="B45" s="55"/>
      <c r="C45" s="148" t="s">
        <v>25</v>
      </c>
      <c r="D45" s="149" t="s">
        <v>127</v>
      </c>
      <c r="F45" s="166">
        <v>1.4999999999999999E-2</v>
      </c>
      <c r="I45" s="151" t="str">
        <f>IF(OR(F45&lt;0,F45&gt;0.015,F45=""),"Wert zwischen 0% und 1,5% eintragen","ok")</f>
        <v>ok</v>
      </c>
      <c r="J45" s="170" t="s">
        <v>183</v>
      </c>
    </row>
    <row r="46" spans="1:16" x14ac:dyDescent="0.2">
      <c r="D46" s="169"/>
      <c r="I46" s="151"/>
      <c r="J46" s="170"/>
      <c r="K46"/>
    </row>
    <row r="47" spans="1:16" x14ac:dyDescent="0.2">
      <c r="A47" s="22" t="s">
        <v>128</v>
      </c>
      <c r="D47" s="170"/>
      <c r="I47" s="151"/>
      <c r="J47" s="170"/>
      <c r="K47"/>
    </row>
    <row r="48" spans="1:16" x14ac:dyDescent="0.2">
      <c r="D48" s="169"/>
      <c r="I48" s="151"/>
      <c r="J48" s="170"/>
      <c r="K48"/>
    </row>
    <row r="49" spans="1:11" x14ac:dyDescent="0.2">
      <c r="B49" s="35"/>
      <c r="C49" s="41" t="s">
        <v>27</v>
      </c>
      <c r="D49" s="51"/>
      <c r="F49" s="171">
        <v>0</v>
      </c>
      <c r="G49" s="135" t="s">
        <v>129</v>
      </c>
      <c r="I49" s="151" t="str">
        <f>IF(F49&lt;=0,"keine Angabe","entspricht "&amp;ROUND(F49/$F$15,2)&amp;" € pro erreichbarem Haushalt bzw. "&amp;ROUND(F49/($F$20+$F$25+$F$26),2)&amp;" € pro tatsächlich angeschlossenem Haushalt")</f>
        <v>keine Angabe</v>
      </c>
      <c r="J49" s="170" t="s">
        <v>179</v>
      </c>
      <c r="K49"/>
    </row>
    <row r="50" spans="1:11" x14ac:dyDescent="0.2">
      <c r="B50" s="35"/>
      <c r="C50" s="35" t="s">
        <v>31</v>
      </c>
      <c r="D50" s="51"/>
      <c r="F50" s="171">
        <v>0</v>
      </c>
      <c r="G50" s="135" t="s">
        <v>129</v>
      </c>
      <c r="I50" s="151" t="str">
        <f>IF(F50&lt;=0,"keine Angabe","entspricht "&amp;ROUND(F50/$F$15,2)&amp;" € pro erreichbarem Haushalt bzw. "&amp;ROUND(F50/($F$20+$F$25+$F$26),2)&amp;" € pro tatsächlich angeschlossenem Haushalt")</f>
        <v>keine Angabe</v>
      </c>
      <c r="J50" s="170" t="s">
        <v>66</v>
      </c>
      <c r="K50"/>
    </row>
    <row r="51" spans="1:11" x14ac:dyDescent="0.2">
      <c r="B51" s="35"/>
      <c r="C51" s="35" t="s">
        <v>28</v>
      </c>
      <c r="D51" s="51" t="s">
        <v>2</v>
      </c>
      <c r="E51" s="38"/>
      <c r="F51" s="172">
        <f>SUM(F49:F50)</f>
        <v>0</v>
      </c>
      <c r="G51" s="135" t="s">
        <v>129</v>
      </c>
      <c r="H51" s="173"/>
      <c r="I51" s="151" t="str">
        <f>IF(F51&lt;=0,"eine Angabe zu Investitionskosten fehlt!","entspricht "&amp;ROUND(F51/$F$15,2)&amp;" € pro erreichbarem Haushalt bzw. "&amp;ROUND(F51/($F$20+$F$25+$F$26),2)&amp;" € pro tatsächlich angeschlossenem Haushalt")</f>
        <v>eine Angabe zu Investitionskosten fehlt!</v>
      </c>
      <c r="J51" s="170"/>
      <c r="K51"/>
    </row>
    <row r="52" spans="1:11" ht="15" customHeight="1" x14ac:dyDescent="0.2">
      <c r="B52" s="35"/>
      <c r="C52" s="41" t="s">
        <v>26</v>
      </c>
      <c r="D52" s="51"/>
      <c r="E52" s="38"/>
      <c r="F52" s="171">
        <v>0</v>
      </c>
      <c r="G52" s="135" t="s">
        <v>129</v>
      </c>
      <c r="H52" s="173"/>
      <c r="I52" s="151" t="str">
        <f>IF(F52&lt;=0,"keine Angabe","Förderanteil "&amp;ROUND(F52/F49*100,2)&amp;" %")</f>
        <v>keine Angabe</v>
      </c>
      <c r="J52" s="170" t="s">
        <v>67</v>
      </c>
      <c r="K52"/>
    </row>
    <row r="53" spans="1:11" ht="15" customHeight="1" x14ac:dyDescent="0.2">
      <c r="B53" s="35"/>
      <c r="C53" s="35" t="s">
        <v>130</v>
      </c>
      <c r="D53" s="44" t="s">
        <v>8</v>
      </c>
      <c r="E53" s="38"/>
      <c r="F53" s="172">
        <f>F51-F52</f>
        <v>0</v>
      </c>
      <c r="G53" s="135" t="s">
        <v>129</v>
      </c>
      <c r="H53" s="173"/>
      <c r="I53" s="151"/>
      <c r="K53"/>
    </row>
    <row r="54" spans="1:11" x14ac:dyDescent="0.2">
      <c r="B54" s="35"/>
      <c r="C54" s="35" t="s">
        <v>6</v>
      </c>
      <c r="D54" s="51" t="s">
        <v>1</v>
      </c>
      <c r="E54" s="38"/>
      <c r="F54" s="174">
        <v>30</v>
      </c>
      <c r="G54" s="135" t="s">
        <v>131</v>
      </c>
      <c r="I54" s="151"/>
      <c r="J54" s="170"/>
      <c r="K54"/>
    </row>
    <row r="55" spans="1:11" x14ac:dyDescent="0.2">
      <c r="B55" s="35"/>
      <c r="C55" s="35" t="s">
        <v>132</v>
      </c>
      <c r="D55" s="44" t="s">
        <v>8</v>
      </c>
      <c r="E55" s="38"/>
      <c r="F55" s="175">
        <f>F53/F54</f>
        <v>0</v>
      </c>
      <c r="G55" s="135" t="s">
        <v>133</v>
      </c>
      <c r="I55" s="151"/>
      <c r="K55"/>
    </row>
    <row r="56" spans="1:11" ht="15" customHeight="1" x14ac:dyDescent="0.2">
      <c r="B56" s="35"/>
      <c r="C56" s="35" t="s">
        <v>134</v>
      </c>
      <c r="D56" s="44" t="s">
        <v>8</v>
      </c>
      <c r="E56" s="38"/>
      <c r="F56" s="175">
        <f>F53/2*$F$43</f>
        <v>0</v>
      </c>
      <c r="G56" s="135" t="s">
        <v>133</v>
      </c>
      <c r="I56" s="151"/>
      <c r="K56"/>
    </row>
    <row r="57" spans="1:11" x14ac:dyDescent="0.2">
      <c r="B57" s="35"/>
      <c r="C57" s="176" t="s">
        <v>5</v>
      </c>
      <c r="D57" s="44" t="s">
        <v>8</v>
      </c>
      <c r="E57" s="38"/>
      <c r="F57" s="175">
        <f>F51*$F$44</f>
        <v>0</v>
      </c>
      <c r="G57" s="135" t="s">
        <v>133</v>
      </c>
      <c r="I57" s="151"/>
      <c r="K57"/>
    </row>
    <row r="58" spans="1:11" ht="25.5" x14ac:dyDescent="0.2">
      <c r="B58" s="35"/>
      <c r="C58" s="176" t="s">
        <v>18</v>
      </c>
      <c r="D58" s="51" t="s">
        <v>135</v>
      </c>
      <c r="E58" s="38"/>
      <c r="F58" s="175">
        <f>F51/F54*$F$45</f>
        <v>0</v>
      </c>
      <c r="G58" s="135" t="s">
        <v>133</v>
      </c>
      <c r="I58" s="151"/>
      <c r="K58"/>
    </row>
    <row r="59" spans="1:11" ht="13.5" thickBot="1" x14ac:dyDescent="0.25">
      <c r="B59" s="35"/>
      <c r="C59" s="50" t="s">
        <v>0</v>
      </c>
      <c r="D59" s="50"/>
      <c r="E59" s="38"/>
      <c r="F59" s="177">
        <f>F55+F56+F57+F58</f>
        <v>0</v>
      </c>
      <c r="G59" s="135" t="s">
        <v>133</v>
      </c>
      <c r="I59" s="151"/>
      <c r="K59"/>
    </row>
    <row r="60" spans="1:11" ht="13.5" thickTop="1" x14ac:dyDescent="0.2">
      <c r="B60" s="35"/>
      <c r="C60" s="45"/>
      <c r="D60" s="51"/>
      <c r="E60" s="38"/>
      <c r="F60" s="175"/>
      <c r="I60" s="151"/>
      <c r="K60"/>
    </row>
    <row r="61" spans="1:11" x14ac:dyDescent="0.2">
      <c r="I61" s="151"/>
      <c r="K61"/>
    </row>
    <row r="62" spans="1:11" ht="13.15" customHeight="1" x14ac:dyDescent="0.2">
      <c r="A62" s="22" t="s">
        <v>47</v>
      </c>
      <c r="D62" s="14"/>
      <c r="E62" s="38"/>
      <c r="I62" s="151"/>
      <c r="K62"/>
    </row>
    <row r="63" spans="1:11" ht="13.15" customHeight="1" x14ac:dyDescent="0.2">
      <c r="D63" s="14"/>
      <c r="E63" s="38"/>
      <c r="I63" s="151"/>
      <c r="K63"/>
    </row>
    <row r="64" spans="1:11" ht="13.15" customHeight="1" x14ac:dyDescent="0.2">
      <c r="B64" s="45"/>
      <c r="C64" s="45" t="s">
        <v>45</v>
      </c>
      <c r="D64" s="178" t="s">
        <v>175</v>
      </c>
      <c r="E64" s="45"/>
      <c r="F64" s="179">
        <v>0</v>
      </c>
      <c r="G64" s="135" t="s">
        <v>133</v>
      </c>
      <c r="I64" s="151" t="str">
        <f>IF(F64&gt;0,"gesonderte Nachweise sind zu erbringen!","")</f>
        <v/>
      </c>
      <c r="J64" s="170" t="s">
        <v>180</v>
      </c>
      <c r="K64"/>
    </row>
    <row r="65" spans="1:11" ht="13.15" customHeight="1" x14ac:dyDescent="0.2">
      <c r="D65" s="14"/>
      <c r="E65" s="38"/>
      <c r="I65" s="151"/>
      <c r="K65"/>
    </row>
    <row r="66" spans="1:11" ht="13.15" customHeight="1" thickBot="1" x14ac:dyDescent="0.25">
      <c r="B66" s="52" t="s">
        <v>136</v>
      </c>
      <c r="C66" s="52"/>
      <c r="D66" s="52"/>
      <c r="E66" s="38"/>
      <c r="F66" s="180">
        <f>SUM(F64+F59)</f>
        <v>0</v>
      </c>
      <c r="G66" s="135" t="s">
        <v>133</v>
      </c>
      <c r="I66" s="151"/>
      <c r="K66"/>
    </row>
    <row r="67" spans="1:11" ht="13.5" thickTop="1" x14ac:dyDescent="0.2">
      <c r="D67" s="14"/>
      <c r="E67" s="38"/>
      <c r="I67" s="151"/>
      <c r="K67"/>
    </row>
    <row r="68" spans="1:11" x14ac:dyDescent="0.2">
      <c r="A68" s="22" t="s">
        <v>137</v>
      </c>
      <c r="D68" s="14"/>
      <c r="E68" s="38"/>
      <c r="I68" s="151"/>
      <c r="K68"/>
    </row>
    <row r="69" spans="1:11" x14ac:dyDescent="0.2">
      <c r="A69" s="22"/>
      <c r="D69" s="14"/>
      <c r="E69" s="38"/>
      <c r="I69" s="151"/>
      <c r="K69"/>
    </row>
    <row r="70" spans="1:11" x14ac:dyDescent="0.2">
      <c r="B70" s="54" t="s">
        <v>138</v>
      </c>
      <c r="C70" s="55"/>
      <c r="D70" s="56"/>
      <c r="E70" s="38"/>
      <c r="F70" s="181"/>
      <c r="I70" s="151"/>
      <c r="K70"/>
    </row>
    <row r="71" spans="1:11" x14ac:dyDescent="0.2">
      <c r="B71" s="55"/>
      <c r="C71" s="55" t="s">
        <v>139</v>
      </c>
      <c r="D71" s="182" t="e">
        <f>ROUND($F$18/$D$74*100,2)&amp;" % von "&amp;ROUND($F$66,2)&amp;" € für "&amp;$F$18&amp;"m von "&amp;$D$74&amp;"m"</f>
        <v>#DIV/0!</v>
      </c>
      <c r="E71" s="38"/>
      <c r="F71" s="183" t="e">
        <f>$F$66*$F$18/$D$74</f>
        <v>#DIV/0!</v>
      </c>
      <c r="G71" s="135" t="s">
        <v>133</v>
      </c>
      <c r="I71" s="151" t="e">
        <f>IF(F71&gt;0,"entspricht € "&amp;ROUND(F71/$F$18/12,2)&amp;" pro Meter und Monat","")</f>
        <v>#DIV/0!</v>
      </c>
      <c r="K71"/>
    </row>
    <row r="72" spans="1:11" ht="12" customHeight="1" x14ac:dyDescent="0.2">
      <c r="B72" s="55"/>
      <c r="C72" s="55" t="s">
        <v>140</v>
      </c>
      <c r="D72" s="182" t="e">
        <f>ROUND($F$23/$D$74*100,2)&amp;" % von "&amp;ROUND($F$66,2)&amp;" € für "&amp;$F$23&amp;"m von "&amp;$D$74&amp;"m"</f>
        <v>#DIV/0!</v>
      </c>
      <c r="E72" s="38"/>
      <c r="F72" s="183" t="e">
        <f>$F$66*$F$23/$D$74</f>
        <v>#DIV/0!</v>
      </c>
      <c r="G72" s="135" t="s">
        <v>133</v>
      </c>
      <c r="I72" s="151" t="e">
        <f>IF(F72&gt;0,"entspricht € "&amp;ROUND(F72/$F$23/12,2)&amp;" pro Meter und Monat","")</f>
        <v>#DIV/0!</v>
      </c>
      <c r="K72"/>
    </row>
    <row r="73" spans="1:11" x14ac:dyDescent="0.2">
      <c r="B73" s="55"/>
      <c r="C73" s="184" t="s">
        <v>141</v>
      </c>
      <c r="D73" s="185" t="str">
        <f>IF($F$37="ja",ROUND($F$38/$D$74*100,2)&amp;" % von "&amp;ROUND($F$66,2)&amp;" € für "&amp;$F$38&amp;"m von "&amp;$D$74&amp;"m","")</f>
        <v/>
      </c>
      <c r="E73" s="38"/>
      <c r="F73" s="186">
        <f>IF($F$37="ja",$F$66*$F$38/$D$74,0)</f>
        <v>0</v>
      </c>
      <c r="G73" s="135" t="s">
        <v>133</v>
      </c>
      <c r="I73" s="151" t="str">
        <f>IF(F73&gt;0,"entspricht € "&amp;ROUND(F73/$F$38/12,2)&amp;" pro Meter und Monat","")</f>
        <v/>
      </c>
      <c r="K73"/>
    </row>
    <row r="74" spans="1:11" ht="13.5" thickBot="1" x14ac:dyDescent="0.25">
      <c r="B74" s="55"/>
      <c r="C74" s="187" t="s">
        <v>142</v>
      </c>
      <c r="D74" s="188">
        <f>IF($F$37="ja",$F$18+$F$23+$F$38,$F$18+$F$23)</f>
        <v>0</v>
      </c>
      <c r="E74" s="189"/>
      <c r="F74" s="190" t="e">
        <f>SUM(F71:F73)</f>
        <v>#DIV/0!</v>
      </c>
      <c r="G74" s="135" t="s">
        <v>133</v>
      </c>
      <c r="I74" s="151" t="e">
        <f>IF(F74&gt;0,"entspricht € "&amp;ROUND(F74/$D$74/12,2)&amp;" pro Meter und Monat","")</f>
        <v>#DIV/0!</v>
      </c>
    </row>
    <row r="75" spans="1:11" ht="13.5" thickTop="1" x14ac:dyDescent="0.2">
      <c r="D75" s="14"/>
      <c r="E75" s="38"/>
      <c r="F75" s="191"/>
      <c r="I75" s="151"/>
      <c r="K75"/>
    </row>
    <row r="76" spans="1:11" ht="12" customHeight="1" x14ac:dyDescent="0.2">
      <c r="D76" s="14"/>
      <c r="E76" s="38"/>
      <c r="I76" s="151"/>
      <c r="K76"/>
    </row>
    <row r="77" spans="1:11" ht="12.75" customHeight="1" x14ac:dyDescent="0.2">
      <c r="A77" s="22" t="s">
        <v>35</v>
      </c>
      <c r="D77" s="14"/>
      <c r="E77" s="38"/>
      <c r="I77" s="151"/>
      <c r="K77"/>
    </row>
    <row r="78" spans="1:11" x14ac:dyDescent="0.2">
      <c r="A78" s="22"/>
      <c r="D78" s="14"/>
      <c r="E78" s="38"/>
      <c r="I78" s="151"/>
      <c r="K78"/>
    </row>
    <row r="79" spans="1:11" ht="12.75" customHeight="1" x14ac:dyDescent="0.2">
      <c r="B79" s="76" t="s">
        <v>11</v>
      </c>
      <c r="C79" s="35"/>
      <c r="D79" s="51"/>
      <c r="E79" s="38"/>
      <c r="F79" s="192"/>
      <c r="I79" s="151"/>
      <c r="K79"/>
    </row>
    <row r="80" spans="1:11" ht="25.5" x14ac:dyDescent="0.2">
      <c r="B80" s="76"/>
      <c r="C80" s="193" t="s">
        <v>143</v>
      </c>
      <c r="D80" s="194" t="e">
        <f>ROUND($F$18/$D$74*100,2)&amp;" % von "&amp;ROUND($F$66,2)&amp;" € für "&amp;$F$18&amp;"m von "&amp;$D$74&amp;"m"</f>
        <v>#DIV/0!</v>
      </c>
      <c r="E80" s="38"/>
      <c r="F80" s="195" t="e">
        <f>F71</f>
        <v>#DIV/0!</v>
      </c>
      <c r="G80" s="135" t="s">
        <v>133</v>
      </c>
      <c r="I80" s="151"/>
      <c r="K80"/>
    </row>
    <row r="81" spans="1:11" x14ac:dyDescent="0.2">
      <c r="B81" s="76"/>
      <c r="C81" s="41" t="s">
        <v>36</v>
      </c>
      <c r="D81" s="51" t="s">
        <v>2</v>
      </c>
      <c r="E81" s="38"/>
      <c r="F81" s="171">
        <v>0</v>
      </c>
      <c r="G81" s="135" t="s">
        <v>129</v>
      </c>
      <c r="I81" s="151" t="str">
        <f>IF(F81&lt;=0,"keine Angabe","entspricht "&amp;ROUND(F81/$F$15,2)&amp;" € pro erreichbarem Haushalt bzw. "&amp;ROUND(F81/($F$20+$F$25+F26),2)&amp;" € pro tatsächlich angeschlossenem Haushalt")</f>
        <v>keine Angabe</v>
      </c>
      <c r="J81" s="170" t="s">
        <v>181</v>
      </c>
      <c r="K81"/>
    </row>
    <row r="82" spans="1:11" ht="15" customHeight="1" x14ac:dyDescent="0.2">
      <c r="B82" s="76"/>
      <c r="C82" s="35" t="s">
        <v>37</v>
      </c>
      <c r="D82" s="51"/>
      <c r="E82" s="38"/>
      <c r="F82" s="171">
        <v>0</v>
      </c>
      <c r="G82" s="135" t="s">
        <v>129</v>
      </c>
      <c r="I82" s="151" t="str">
        <f>IF(F82&lt;=0,"keine Angabe","entspricht "&amp;ROUND(F82/$F$15,2)&amp;" € pro erreichbarem Haushalt bzw. "&amp;ROUND(F82/($F$20+$F$25+$F$26),2)&amp;" € pro tatsächlich angeschlossenem Haushalt")</f>
        <v>keine Angabe</v>
      </c>
      <c r="J82" s="170" t="s">
        <v>66</v>
      </c>
      <c r="K82"/>
    </row>
    <row r="83" spans="1:11" x14ac:dyDescent="0.2">
      <c r="B83" s="76"/>
      <c r="C83" s="35" t="s">
        <v>38</v>
      </c>
      <c r="D83" s="51"/>
      <c r="E83" s="38"/>
      <c r="F83" s="172">
        <f>SUM(F81:F82)</f>
        <v>0</v>
      </c>
      <c r="G83" s="135" t="s">
        <v>129</v>
      </c>
      <c r="I83" s="151" t="str">
        <f>IF(F83&lt;=0,"eine Angabe zu Investitionskosten fehlt!","entspricht "&amp;ROUND(F83/$F$15,2)&amp;" € pro erreichbarem Haushalt bzw. "&amp;ROUND(F83/($F$20+$F$25+$F$26),2)&amp;" € pro tatsächlich angeschlossenem Haushalt")</f>
        <v>eine Angabe zu Investitionskosten fehlt!</v>
      </c>
      <c r="J83" s="170"/>
      <c r="K83"/>
    </row>
    <row r="84" spans="1:11" ht="15" customHeight="1" x14ac:dyDescent="0.2">
      <c r="B84" s="76"/>
      <c r="C84" s="41" t="s">
        <v>26</v>
      </c>
      <c r="D84" s="51"/>
      <c r="E84" s="38"/>
      <c r="F84" s="171">
        <v>0</v>
      </c>
      <c r="G84" s="135" t="s">
        <v>129</v>
      </c>
      <c r="I84" s="151" t="str">
        <f>IF(F84&lt;=0,"keine Angabe","Förderanteil "&amp;ROUND(F84/F81*100,2)&amp;" %")</f>
        <v>keine Angabe</v>
      </c>
      <c r="J84" s="170" t="s">
        <v>182</v>
      </c>
      <c r="K84"/>
    </row>
    <row r="85" spans="1:11" x14ac:dyDescent="0.2">
      <c r="B85" s="76"/>
      <c r="C85" s="35" t="s">
        <v>144</v>
      </c>
      <c r="D85" s="51"/>
      <c r="E85" s="38"/>
      <c r="F85" s="172">
        <f>F83-F84</f>
        <v>0</v>
      </c>
      <c r="G85" s="135" t="s">
        <v>129</v>
      </c>
      <c r="I85" s="151"/>
      <c r="K85"/>
    </row>
    <row r="86" spans="1:11" ht="25.5" x14ac:dyDescent="0.2">
      <c r="B86" s="76"/>
      <c r="C86" s="176" t="s">
        <v>6</v>
      </c>
      <c r="D86" s="51" t="s">
        <v>15</v>
      </c>
      <c r="E86" s="38"/>
      <c r="F86" s="174">
        <v>20</v>
      </c>
      <c r="G86" s="135" t="s">
        <v>131</v>
      </c>
      <c r="H86" s="196"/>
      <c r="I86" s="151"/>
      <c r="J86" s="170"/>
      <c r="K86"/>
    </row>
    <row r="87" spans="1:11" x14ac:dyDescent="0.2">
      <c r="B87" s="76"/>
      <c r="C87" s="35" t="s">
        <v>132</v>
      </c>
      <c r="D87" s="44" t="s">
        <v>8</v>
      </c>
      <c r="E87" s="38"/>
      <c r="F87" s="175">
        <f>F85/F86</f>
        <v>0</v>
      </c>
      <c r="G87" s="135" t="s">
        <v>133</v>
      </c>
      <c r="H87" s="196"/>
      <c r="I87" s="151"/>
      <c r="K87"/>
    </row>
    <row r="88" spans="1:11" ht="15" customHeight="1" x14ac:dyDescent="0.2">
      <c r="B88" s="76"/>
      <c r="C88" s="35" t="s">
        <v>134</v>
      </c>
      <c r="D88" s="44" t="s">
        <v>8</v>
      </c>
      <c r="E88" s="38"/>
      <c r="F88" s="175">
        <f>F85/2*$F$43</f>
        <v>0</v>
      </c>
      <c r="G88" s="135" t="s">
        <v>133</v>
      </c>
      <c r="I88" s="151"/>
      <c r="K88"/>
    </row>
    <row r="89" spans="1:11" ht="15" customHeight="1" x14ac:dyDescent="0.2">
      <c r="B89" s="76"/>
      <c r="C89" s="35" t="s">
        <v>5</v>
      </c>
      <c r="D89" s="44" t="s">
        <v>8</v>
      </c>
      <c r="E89" s="38"/>
      <c r="F89" s="175">
        <f>F83*$F$44</f>
        <v>0</v>
      </c>
      <c r="G89" s="135" t="s">
        <v>133</v>
      </c>
      <c r="I89" s="151"/>
      <c r="K89"/>
    </row>
    <row r="90" spans="1:11" ht="13.5" thickBot="1" x14ac:dyDescent="0.25">
      <c r="B90" s="76"/>
      <c r="C90" s="50" t="s">
        <v>0</v>
      </c>
      <c r="D90" s="50"/>
      <c r="E90" s="38"/>
      <c r="F90" s="177" t="e">
        <f>F80+F87+F88+F89</f>
        <v>#DIV/0!</v>
      </c>
      <c r="G90" s="135" t="s">
        <v>133</v>
      </c>
      <c r="I90" s="151"/>
      <c r="K90"/>
    </row>
    <row r="91" spans="1:11" ht="13.5" thickTop="1" x14ac:dyDescent="0.2">
      <c r="I91" s="151"/>
      <c r="K91"/>
    </row>
    <row r="92" spans="1:11" ht="13.15" customHeight="1" x14ac:dyDescent="0.2">
      <c r="A92" s="22" t="s">
        <v>48</v>
      </c>
      <c r="D92" s="14"/>
      <c r="E92" s="38"/>
      <c r="I92" s="151"/>
      <c r="K92"/>
    </row>
    <row r="93" spans="1:11" ht="13.15" customHeight="1" x14ac:dyDescent="0.2">
      <c r="D93" s="14"/>
      <c r="E93" s="38"/>
      <c r="I93" s="151"/>
      <c r="K93"/>
    </row>
    <row r="94" spans="1:11" ht="13.15" customHeight="1" x14ac:dyDescent="0.2">
      <c r="B94" s="45"/>
      <c r="C94" s="45" t="s">
        <v>44</v>
      </c>
      <c r="D94" s="178" t="s">
        <v>175</v>
      </c>
      <c r="E94" s="45"/>
      <c r="F94" s="179">
        <v>0</v>
      </c>
      <c r="G94" s="135" t="s">
        <v>133</v>
      </c>
      <c r="I94" s="151" t="str">
        <f>IF(F94&gt;0,"gesonderte Nachweise sind zu erbringen!","")</f>
        <v/>
      </c>
      <c r="J94" s="170" t="s">
        <v>180</v>
      </c>
      <c r="K94"/>
    </row>
    <row r="95" spans="1:11" ht="13.15" customHeight="1" x14ac:dyDescent="0.2">
      <c r="D95" s="14"/>
      <c r="E95" s="38"/>
      <c r="I95" s="151"/>
      <c r="K95"/>
    </row>
    <row r="96" spans="1:11" ht="13.15" customHeight="1" thickBot="1" x14ac:dyDescent="0.25">
      <c r="B96" s="52" t="s">
        <v>46</v>
      </c>
      <c r="C96" s="52"/>
      <c r="D96" s="52"/>
      <c r="E96" s="38"/>
      <c r="F96" s="180" t="e">
        <f>SUM(F94+F90)</f>
        <v>#DIV/0!</v>
      </c>
      <c r="G96" s="135" t="s">
        <v>133</v>
      </c>
      <c r="I96" s="151"/>
      <c r="K96"/>
    </row>
    <row r="97" spans="1:11" ht="13.5" thickTop="1" x14ac:dyDescent="0.2">
      <c r="B97" s="78"/>
      <c r="D97" s="14"/>
      <c r="E97" s="38"/>
      <c r="I97" s="151"/>
      <c r="K97"/>
    </row>
    <row r="98" spans="1:11" x14ac:dyDescent="0.2">
      <c r="A98" s="22" t="s">
        <v>145</v>
      </c>
      <c r="D98" s="14"/>
      <c r="E98" s="38"/>
      <c r="I98" s="151"/>
      <c r="K98"/>
    </row>
    <row r="99" spans="1:11" x14ac:dyDescent="0.2">
      <c r="B99" s="78"/>
      <c r="D99" s="14"/>
      <c r="E99" s="38"/>
      <c r="K99"/>
    </row>
    <row r="100" spans="1:11" ht="12.75" customHeight="1" x14ac:dyDescent="0.2">
      <c r="B100" s="54" t="s">
        <v>146</v>
      </c>
      <c r="C100" s="55"/>
      <c r="D100" s="56"/>
      <c r="E100" s="38"/>
      <c r="F100" s="181"/>
      <c r="K100"/>
    </row>
    <row r="101" spans="1:11" ht="25.5" x14ac:dyDescent="0.2">
      <c r="B101" s="55"/>
      <c r="C101" s="197" t="s">
        <v>55</v>
      </c>
      <c r="D101" s="182" t="e">
        <f>ROUND($F$19/$D$104*100,2)&amp;" % für "&amp;$F$19&amp;"m von "&amp;$D$104&amp;"m"</f>
        <v>#DIV/0!</v>
      </c>
      <c r="E101" s="38"/>
      <c r="F101" s="183" t="e">
        <f>$F$96*$F$19/$D$104</f>
        <v>#DIV/0!</v>
      </c>
      <c r="G101" s="135" t="s">
        <v>133</v>
      </c>
      <c r="I101" s="151" t="e">
        <f>IF(F101&gt;0,"entspricht € "&amp;ROUND(F101/$F$19/12,2)&amp;" pro Meter und Monat","")</f>
        <v>#DIV/0!</v>
      </c>
      <c r="K101"/>
    </row>
    <row r="102" spans="1:11" ht="25.5" x14ac:dyDescent="0.2">
      <c r="B102" s="55"/>
      <c r="C102" s="197" t="s">
        <v>56</v>
      </c>
      <c r="D102" s="182" t="e">
        <f>ROUND($F$24/$D$104*100,2)&amp;" % für "&amp;$F$24&amp;"m von "&amp;$D$104&amp;"m"</f>
        <v>#DIV/0!</v>
      </c>
      <c r="E102" s="38"/>
      <c r="F102" s="183" t="e">
        <f>$F$96*$F$24/$D$104</f>
        <v>#DIV/0!</v>
      </c>
      <c r="G102" s="135" t="s">
        <v>133</v>
      </c>
      <c r="I102" s="151" t="e">
        <f>IF(F102&gt;0,"entspricht € "&amp;ROUND(F102/$F$24/12,2)&amp;" pro Meter und Monat","")</f>
        <v>#DIV/0!</v>
      </c>
      <c r="K102"/>
    </row>
    <row r="103" spans="1:11" x14ac:dyDescent="0.2">
      <c r="B103" s="55"/>
      <c r="C103" s="184" t="s">
        <v>147</v>
      </c>
      <c r="D103" s="185" t="str">
        <f>IF($F$35="ja",ROUND($F$36/$D$104*100,2)&amp;" % für "&amp;$F$36&amp;"m von "&amp;$D$104&amp;"m","")</f>
        <v/>
      </c>
      <c r="E103" s="38"/>
      <c r="F103" s="186">
        <f>IF(F35="ja",$F$96*$F$36/$D$104,0)</f>
        <v>0</v>
      </c>
      <c r="G103" s="135" t="s">
        <v>133</v>
      </c>
      <c r="I103" s="151" t="str">
        <f>IF(F103&gt;0,"entspricht € "&amp;ROUND(F103/$F$36/12,2)&amp;" pro Meter und Monat","")</f>
        <v/>
      </c>
      <c r="K103"/>
    </row>
    <row r="104" spans="1:11" ht="13.5" thickBot="1" x14ac:dyDescent="0.25">
      <c r="B104" s="55"/>
      <c r="C104" s="198" t="s">
        <v>142</v>
      </c>
      <c r="D104" s="188">
        <f>IF(F35="ja",$F$19+$F$24+$F$36,$F$19+$F$24)</f>
        <v>0</v>
      </c>
      <c r="E104" s="189"/>
      <c r="F104" s="190" t="e">
        <f>SUM(F101:F103)</f>
        <v>#DIV/0!</v>
      </c>
      <c r="G104" s="135" t="s">
        <v>133</v>
      </c>
      <c r="I104" s="151" t="e">
        <f>IF(F104&gt;0,"entspricht € "&amp;ROUND(F104/$D$104/12,2)&amp;" pro Meter und Monat","")</f>
        <v>#DIV/0!</v>
      </c>
      <c r="K104"/>
    </row>
    <row r="105" spans="1:11" ht="13.5" thickTop="1" x14ac:dyDescent="0.2">
      <c r="B105" s="78"/>
      <c r="D105" s="14"/>
      <c r="E105" s="38"/>
      <c r="K105"/>
    </row>
    <row r="106" spans="1:11" x14ac:dyDescent="0.2">
      <c r="A106" s="22" t="s">
        <v>148</v>
      </c>
      <c r="B106" s="78"/>
      <c r="D106" s="14"/>
      <c r="E106" s="38"/>
      <c r="K106"/>
    </row>
    <row r="107" spans="1:11" x14ac:dyDescent="0.2">
      <c r="B107" s="78"/>
      <c r="D107" s="14"/>
      <c r="E107" s="38"/>
      <c r="K107"/>
    </row>
    <row r="108" spans="1:11" ht="12.75" customHeight="1" x14ac:dyDescent="0.2">
      <c r="B108" s="54" t="s">
        <v>149</v>
      </c>
      <c r="C108" s="55"/>
      <c r="D108" s="56"/>
      <c r="E108" s="38"/>
      <c r="F108" s="181"/>
      <c r="K108"/>
    </row>
    <row r="109" spans="1:11" x14ac:dyDescent="0.2">
      <c r="B109" s="55"/>
      <c r="C109" s="197" t="s">
        <v>109</v>
      </c>
      <c r="D109" s="182" t="e">
        <f>ROUND($F$20/$D$115*100,2)&amp;" % von "&amp;ROUND($F$101,2)&amp;" € für "&amp;$F$20&amp;" Anschlüsse von "&amp;$D$115&amp;" Anschlüssen"</f>
        <v>#DIV/0!</v>
      </c>
      <c r="E109" s="38"/>
      <c r="F109" s="183" t="e">
        <f>$F$101*$F$20/$D$115</f>
        <v>#DIV/0!</v>
      </c>
      <c r="G109" s="135" t="s">
        <v>133</v>
      </c>
      <c r="I109" s="151" t="e">
        <f>IF(F109&gt;0,"entspricht € "&amp;ROUND(F109/$F$20/12,2)&amp;" pro Anschluss und Monat","")</f>
        <v>#DIV/0!</v>
      </c>
      <c r="K109"/>
    </row>
    <row r="110" spans="1:11" ht="25.5" hidden="1" x14ac:dyDescent="0.2">
      <c r="B110" s="55"/>
      <c r="C110" s="199" t="s">
        <v>176</v>
      </c>
      <c r="D110" s="200" t="e">
        <f>ROUND($F$26/$D$115*100,2)&amp;" % von "&amp;ROUND($F$101,2)&amp;" € für "&amp;$F$26&amp;" Anschlüsse von "&amp;$D$115&amp;" Anschlüssen"</f>
        <v>#DIV/0!</v>
      </c>
      <c r="F110" s="201" t="e">
        <f>$F$101*$F$26/$D$115</f>
        <v>#DIV/0!</v>
      </c>
      <c r="G110" s="202" t="s">
        <v>133</v>
      </c>
      <c r="I110" s="151" t="e">
        <f>IF(F110&gt;0,"entspricht € "&amp;ROUND(F110/$F$26/12,2)&amp;" pro Anschluss und Monat","")</f>
        <v>#DIV/0!</v>
      </c>
      <c r="K110"/>
    </row>
    <row r="111" spans="1:11" x14ac:dyDescent="0.2">
      <c r="B111" s="55"/>
      <c r="C111" s="199" t="s">
        <v>150</v>
      </c>
      <c r="D111" s="200" t="e">
        <f>IF($F$31="ja",ROUND($F$32/$D$115*100,2)&amp;" % von "&amp;ROUND($F$101,2)&amp;" € für "&amp;$F$32&amp;" Anschlüsse von "&amp;$D$115&amp;" Anschlüssen","keine")</f>
        <v>#DIV/0!</v>
      </c>
      <c r="E111" s="38"/>
      <c r="F111" s="201" t="e">
        <f>IF($F$31="ja",$F$101*$F$32/$D$115,0)</f>
        <v>#DIV/0!</v>
      </c>
      <c r="G111" s="202" t="s">
        <v>133</v>
      </c>
      <c r="I111" s="151" t="e">
        <f>IF(F111&gt;0,"entspricht € "&amp;ROUND(F111/$F$32/12,2)&amp;" pro Anschluss und Monat","")</f>
        <v>#DIV/0!</v>
      </c>
      <c r="K111"/>
    </row>
    <row r="112" spans="1:11" ht="25.5" hidden="1" x14ac:dyDescent="0.2">
      <c r="B112" s="55"/>
      <c r="C112" s="199" t="s">
        <v>177</v>
      </c>
      <c r="D112" s="200" t="e">
        <f>ROUND($F$25/$D$115*100,2)&amp;" % von "&amp;ROUND($F$101,2)&amp;" € für "&amp;$F$25&amp;" Anschlüsse von "&amp;$D$115&amp;" Anschlüssen"</f>
        <v>#DIV/0!</v>
      </c>
      <c r="E112" s="38"/>
      <c r="F112" s="201" t="e">
        <f>$F$101*$F$25/$D$115</f>
        <v>#DIV/0!</v>
      </c>
      <c r="G112" s="202" t="s">
        <v>133</v>
      </c>
      <c r="I112" s="151" t="e">
        <f>IF(F112&gt;0,"entspricht € "&amp;ROUND(F112/$F$25/12,2)&amp;" pro Anschluss und Monat","")</f>
        <v>#DIV/0!</v>
      </c>
      <c r="K112"/>
    </row>
    <row r="113" spans="1:11" x14ac:dyDescent="0.2">
      <c r="B113" s="55"/>
      <c r="C113" s="184" t="s">
        <v>151</v>
      </c>
      <c r="D113" s="185" t="str">
        <f>IF($F$33="ja",ROUND($F$34/$D$115*100,2)&amp;" % von "&amp;ROUND($F$101,2)&amp;" € für "&amp;$F$34&amp;" Anschlüsse von "&amp;$D$115&amp;" Anschlüssen","")</f>
        <v/>
      </c>
      <c r="E113" s="38"/>
      <c r="F113" s="186">
        <f>IF($F$33="ja",$F$101*$F$34/$D$115,0)</f>
        <v>0</v>
      </c>
      <c r="G113" s="135" t="s">
        <v>133</v>
      </c>
      <c r="I113" s="151" t="str">
        <f>IF(F113&gt;0,"entspricht € "&amp;ROUND(F113/$F$34/12,2)&amp;" pro Anschluss und Monat","")</f>
        <v/>
      </c>
      <c r="K113"/>
    </row>
    <row r="114" spans="1:11" x14ac:dyDescent="0.2">
      <c r="B114" s="55"/>
      <c r="C114" s="199" t="s">
        <v>152</v>
      </c>
      <c r="D114" s="200" t="e">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#DIV/0!</v>
      </c>
      <c r="E114" s="38"/>
      <c r="F114" s="201" t="e">
        <f>IF($F$33="ja",IF($F$31="ja",$F$101*($D$115-($F$20+$F$25+$F$34+$F$26+$F$32))/$D$115,$F$101*($D$115-($F$20+$F$25+$F$34+$F$26))/$D$115),IF($F$31="ja",$F$101*($D$115-($F$20+$F$25+$F$26+$F$32))/$D$115,$F$101*($D$115-($F$20+$F$25+$F$26))/$D$115))</f>
        <v>#DIV/0!</v>
      </c>
      <c r="G114" s="202" t="s">
        <v>133</v>
      </c>
      <c r="I114" s="151" t="e">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#DIV/0!</v>
      </c>
      <c r="K114"/>
    </row>
    <row r="115" spans="1:11" ht="13.5" thickBot="1" x14ac:dyDescent="0.25">
      <c r="B115" s="55"/>
      <c r="C115" s="198" t="s">
        <v>153</v>
      </c>
      <c r="D115" s="188">
        <f>ROUNDDOWN(F15*F3,0)</f>
        <v>0</v>
      </c>
      <c r="E115" s="189"/>
      <c r="F115" s="190" t="e">
        <f>SUM(F109:F114)</f>
        <v>#DIV/0!</v>
      </c>
      <c r="G115" s="135" t="s">
        <v>133</v>
      </c>
      <c r="I115" s="151" t="e">
        <f>IF(F115&gt;0,"entspricht € "&amp;ROUND(F115/$D$115/12,2)&amp;" pro Anschluss und Monat","")</f>
        <v>#DIV/0!</v>
      </c>
      <c r="J115">
        <f>($D$115-($F$20+$F$25+$F$34+$F$26+$F$32))</f>
        <v>0</v>
      </c>
      <c r="K115" s="203"/>
    </row>
    <row r="116" spans="1:11" ht="13.5" thickTop="1" x14ac:dyDescent="0.2">
      <c r="B116" s="78"/>
      <c r="D116" s="14"/>
      <c r="E116" s="38"/>
      <c r="J116" s="168">
        <f>($D$115-($F$20+$F$25+$F$26+$F$32))</f>
        <v>0</v>
      </c>
      <c r="K116"/>
    </row>
    <row r="117" spans="1:11" x14ac:dyDescent="0.2">
      <c r="A117" s="93"/>
      <c r="B117" s="93"/>
      <c r="C117" s="73"/>
      <c r="D117" s="94"/>
      <c r="E117" s="204"/>
      <c r="I117" s="137" t="e">
        <f>($D$115-$F$20+$F$25+$F$34+$F$26+$F$32)/$D$115</f>
        <v>#DIV/0!</v>
      </c>
      <c r="J117" s="168">
        <f>($D$115-($F$20+$F$25+$F$26))</f>
        <v>0</v>
      </c>
    </row>
    <row r="118" spans="1:11" ht="12.75" customHeight="1" x14ac:dyDescent="0.2">
      <c r="A118" s="22" t="s">
        <v>154</v>
      </c>
      <c r="D118" s="14"/>
      <c r="E118" s="38"/>
      <c r="I118" s="151"/>
      <c r="K118"/>
    </row>
    <row r="119" spans="1:11" x14ac:dyDescent="0.2">
      <c r="A119" s="22"/>
      <c r="D119" s="14"/>
      <c r="E119" s="38"/>
      <c r="I119" s="151"/>
      <c r="K119"/>
    </row>
    <row r="120" spans="1:11" ht="12.75" customHeight="1" x14ac:dyDescent="0.2">
      <c r="B120" s="76" t="s">
        <v>155</v>
      </c>
      <c r="C120" s="35"/>
      <c r="D120" s="51"/>
      <c r="E120" s="38"/>
      <c r="F120" s="192"/>
      <c r="I120" s="151"/>
      <c r="K120"/>
    </row>
    <row r="121" spans="1:11" ht="25.5" x14ac:dyDescent="0.2">
      <c r="B121" s="76"/>
      <c r="C121" s="193" t="s">
        <v>156</v>
      </c>
      <c r="D121" s="205" t="e">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#DIV/0!</v>
      </c>
      <c r="E121" s="38"/>
      <c r="F121" s="195" t="e">
        <f>F109+F110+F111+F114</f>
        <v>#DIV/0!</v>
      </c>
      <c r="G121" s="135" t="s">
        <v>133</v>
      </c>
      <c r="I121" s="151"/>
      <c r="K121"/>
    </row>
    <row r="122" spans="1:11" ht="15" customHeight="1" x14ac:dyDescent="0.2">
      <c r="B122" s="76"/>
      <c r="C122" s="41" t="s">
        <v>36</v>
      </c>
      <c r="D122" s="51" t="s">
        <v>2</v>
      </c>
      <c r="E122" s="38"/>
      <c r="F122" s="171">
        <v>0</v>
      </c>
      <c r="G122" s="135" t="s">
        <v>129</v>
      </c>
      <c r="I122" s="151" t="str">
        <f>IF(F122&lt;=0,"keine Angabe","entspricht "&amp;ROUND(F122/($F$20+$F$25+$F$26),2)&amp;" € pro tatsächlich angeschlossenem Haushalt")</f>
        <v>keine Angabe</v>
      </c>
      <c r="J122" s="170" t="s">
        <v>181</v>
      </c>
      <c r="K122"/>
    </row>
    <row r="123" spans="1:11" x14ac:dyDescent="0.2">
      <c r="B123" s="76"/>
      <c r="C123" s="35" t="s">
        <v>37</v>
      </c>
      <c r="D123" s="51"/>
      <c r="E123" s="38"/>
      <c r="F123" s="171">
        <v>0</v>
      </c>
      <c r="G123" s="135" t="s">
        <v>129</v>
      </c>
      <c r="I123" s="151" t="str">
        <f>IF(F123&lt;=0,"keine Angabe","entspricht "&amp;ROUND(F123/($F$20+$F$25+$F$26),2)&amp;" € pro tatsächlich angeschlossenem Haushalt")</f>
        <v>keine Angabe</v>
      </c>
      <c r="J123" s="170" t="s">
        <v>66</v>
      </c>
      <c r="K123"/>
    </row>
    <row r="124" spans="1:11" x14ac:dyDescent="0.2">
      <c r="B124" s="76"/>
      <c r="C124" s="35" t="s">
        <v>38</v>
      </c>
      <c r="D124" s="51"/>
      <c r="E124" s="38"/>
      <c r="F124" s="172">
        <f>SUM(F122:F123)</f>
        <v>0</v>
      </c>
      <c r="G124" s="135" t="s">
        <v>129</v>
      </c>
      <c r="I124" s="151" t="str">
        <f>IF(F124&lt;=0,"eine Angabe zu Investitionskosten fehlt!","entspricht "&amp;ROUND(F124/($F$20+$F$25+$F$26),2)&amp;" € pro tatsächlich angeschlossenem Haushalt")</f>
        <v>eine Angabe zu Investitionskosten fehlt!</v>
      </c>
      <c r="J124" s="170"/>
      <c r="K124"/>
    </row>
    <row r="125" spans="1:11" ht="15" customHeight="1" x14ac:dyDescent="0.2">
      <c r="B125" s="76"/>
      <c r="C125" s="41" t="s">
        <v>26</v>
      </c>
      <c r="D125" s="51"/>
      <c r="E125" s="38"/>
      <c r="F125" s="171">
        <v>0</v>
      </c>
      <c r="G125" s="135" t="s">
        <v>129</v>
      </c>
      <c r="I125" s="151" t="str">
        <f>IF(F125&lt;=0,"keine Angabe","Förderanteil "&amp;ROUND(F125/F122*100,2)&amp;" %")</f>
        <v>keine Angabe</v>
      </c>
      <c r="J125" s="170" t="s">
        <v>182</v>
      </c>
      <c r="K125"/>
    </row>
    <row r="126" spans="1:11" x14ac:dyDescent="0.2">
      <c r="B126" s="76"/>
      <c r="C126" s="35" t="s">
        <v>144</v>
      </c>
      <c r="D126" s="51"/>
      <c r="E126" s="38"/>
      <c r="F126" s="172">
        <f>F124-F125</f>
        <v>0</v>
      </c>
      <c r="G126" s="135" t="s">
        <v>129</v>
      </c>
      <c r="I126" s="151"/>
      <c r="K126"/>
    </row>
    <row r="127" spans="1:11" ht="25.5" x14ac:dyDescent="0.2">
      <c r="B127" s="76"/>
      <c r="C127" s="176" t="s">
        <v>6</v>
      </c>
      <c r="D127" s="51" t="s">
        <v>15</v>
      </c>
      <c r="E127" s="38"/>
      <c r="F127" s="174">
        <v>20</v>
      </c>
      <c r="G127" s="135" t="s">
        <v>131</v>
      </c>
      <c r="H127" s="196"/>
      <c r="I127" s="151"/>
      <c r="J127" s="170"/>
      <c r="K127"/>
    </row>
    <row r="128" spans="1:11" x14ac:dyDescent="0.2">
      <c r="B128" s="76"/>
      <c r="C128" s="35" t="s">
        <v>132</v>
      </c>
      <c r="D128" s="44" t="s">
        <v>8</v>
      </c>
      <c r="E128" s="38"/>
      <c r="F128" s="175">
        <f>F126/F127</f>
        <v>0</v>
      </c>
      <c r="G128" s="135" t="s">
        <v>133</v>
      </c>
      <c r="H128" s="196"/>
      <c r="I128" s="151"/>
      <c r="K128"/>
    </row>
    <row r="129" spans="1:11" ht="15" customHeight="1" x14ac:dyDescent="0.2">
      <c r="B129" s="76"/>
      <c r="C129" s="35" t="s">
        <v>134</v>
      </c>
      <c r="D129" s="44" t="s">
        <v>8</v>
      </c>
      <c r="E129" s="38"/>
      <c r="F129" s="175">
        <f>F126/2*$F$43</f>
        <v>0</v>
      </c>
      <c r="G129" s="135" t="s">
        <v>133</v>
      </c>
      <c r="I129" s="151"/>
      <c r="K129"/>
    </row>
    <row r="130" spans="1:11" ht="15" customHeight="1" x14ac:dyDescent="0.2">
      <c r="B130" s="76"/>
      <c r="C130" s="35" t="s">
        <v>5</v>
      </c>
      <c r="D130" s="44" t="s">
        <v>8</v>
      </c>
      <c r="E130" s="38"/>
      <c r="F130" s="175">
        <f>F124*$F$44</f>
        <v>0</v>
      </c>
      <c r="G130" s="135" t="s">
        <v>133</v>
      </c>
      <c r="I130" s="151"/>
      <c r="K130"/>
    </row>
    <row r="131" spans="1:11" ht="13.5" thickBot="1" x14ac:dyDescent="0.25">
      <c r="B131" s="76"/>
      <c r="C131" s="50" t="s">
        <v>0</v>
      </c>
      <c r="D131" s="50"/>
      <c r="E131" s="38"/>
      <c r="F131" s="177" t="e">
        <f>F121+F128+F129+F130</f>
        <v>#DIV/0!</v>
      </c>
      <c r="G131" s="135" t="s">
        <v>133</v>
      </c>
      <c r="I131" s="151"/>
      <c r="K131"/>
    </row>
    <row r="132" spans="1:11" ht="13.5" thickTop="1" x14ac:dyDescent="0.2">
      <c r="A132" s="93"/>
      <c r="B132" s="93"/>
      <c r="C132" s="73"/>
      <c r="D132" s="94"/>
      <c r="E132" s="204"/>
    </row>
    <row r="133" spans="1:11" x14ac:dyDescent="0.2">
      <c r="A133" s="22" t="s">
        <v>157</v>
      </c>
      <c r="D133" s="14"/>
      <c r="E133" s="38"/>
    </row>
    <row r="134" spans="1:11" x14ac:dyDescent="0.2">
      <c r="D134" s="14"/>
      <c r="E134" s="38"/>
    </row>
    <row r="135" spans="1:11" x14ac:dyDescent="0.2">
      <c r="B135" s="45"/>
      <c r="C135" s="45" t="s">
        <v>44</v>
      </c>
      <c r="D135" s="178" t="s">
        <v>175</v>
      </c>
      <c r="E135" s="45"/>
      <c r="F135" s="179">
        <v>0</v>
      </c>
      <c r="G135" s="135" t="s">
        <v>133</v>
      </c>
      <c r="J135" s="170" t="s">
        <v>180</v>
      </c>
    </row>
    <row r="136" spans="1:11" x14ac:dyDescent="0.2">
      <c r="D136" s="14"/>
      <c r="E136" s="38"/>
    </row>
    <row r="137" spans="1:11" ht="13.5" thickBot="1" x14ac:dyDescent="0.25">
      <c r="B137" s="52" t="s">
        <v>46</v>
      </c>
      <c r="C137" s="52"/>
      <c r="D137" s="52"/>
      <c r="E137" s="38"/>
      <c r="F137" s="180" t="e">
        <f>SUM(F135+F131)</f>
        <v>#DIV/0!</v>
      </c>
      <c r="G137" s="135" t="s">
        <v>133</v>
      </c>
    </row>
    <row r="138" spans="1:11" ht="13.5" thickTop="1" x14ac:dyDescent="0.2">
      <c r="A138" s="93"/>
      <c r="B138" s="93"/>
      <c r="C138" s="73"/>
      <c r="D138" s="94"/>
      <c r="E138" s="204"/>
    </row>
    <row r="139" spans="1:11" x14ac:dyDescent="0.2">
      <c r="A139" s="22" t="s">
        <v>158</v>
      </c>
      <c r="B139" s="93"/>
      <c r="C139" s="73"/>
      <c r="D139" s="94"/>
      <c r="E139" s="204"/>
    </row>
    <row r="140" spans="1:11" x14ac:dyDescent="0.2">
      <c r="A140" s="93"/>
      <c r="B140" s="93"/>
      <c r="C140" s="73"/>
      <c r="D140" s="94"/>
      <c r="E140" s="204"/>
    </row>
    <row r="141" spans="1:11" ht="12.75" customHeight="1" x14ac:dyDescent="0.2">
      <c r="B141" s="54" t="s">
        <v>159</v>
      </c>
      <c r="C141" s="55"/>
      <c r="D141" s="56"/>
      <c r="E141" s="38"/>
      <c r="F141" s="181"/>
      <c r="K141"/>
    </row>
    <row r="142" spans="1:11" x14ac:dyDescent="0.2">
      <c r="B142" s="55"/>
      <c r="C142" s="197" t="s">
        <v>109</v>
      </c>
      <c r="D142" s="182" t="e">
        <f>ROUND($F$20/$D$146*100,2)&amp;" % von "&amp;ROUND($F$137,2)&amp;" € für "&amp;$F$20&amp;" Anschlüsse von "&amp;$D$146&amp;" Anschlüssen"</f>
        <v>#DIV/0!</v>
      </c>
      <c r="E142" s="38"/>
      <c r="F142" s="183" t="e">
        <f>$F$137*$F$20/$D$146</f>
        <v>#DIV/0!</v>
      </c>
      <c r="G142" s="135" t="s">
        <v>133</v>
      </c>
      <c r="I142" s="151" t="e">
        <f>IF(F142&gt;0,"entspricht € "&amp;ROUND(F142/$F$20/12,2)&amp;" pro Anschluss und Monat","")</f>
        <v>#DIV/0!</v>
      </c>
      <c r="K142"/>
    </row>
    <row r="143" spans="1:11" hidden="1" x14ac:dyDescent="0.2">
      <c r="B143" s="55"/>
      <c r="C143" s="199" t="s">
        <v>178</v>
      </c>
      <c r="D143" s="200" t="e">
        <f>ROUND($F$26/$D$146*100,2)&amp;" % von "&amp;ROUND(F137,2)&amp;" € für "&amp;$F$26&amp;" Anschlüsse von "&amp;$D$146&amp;" Anschlüssen"</f>
        <v>#DIV/0!</v>
      </c>
      <c r="F143" s="201" t="e">
        <f>$F$137*$F$26/$D$146</f>
        <v>#DIV/0!</v>
      </c>
      <c r="G143" s="202" t="s">
        <v>133</v>
      </c>
      <c r="I143" s="151" t="e">
        <f>IF(F143&gt;0,"entspricht € "&amp;ROUND(F143/$F$26/12,2)&amp;" pro Anschluss und Monat","")</f>
        <v>#DIV/0!</v>
      </c>
      <c r="K143"/>
    </row>
    <row r="144" spans="1:11" x14ac:dyDescent="0.2">
      <c r="B144" s="55"/>
      <c r="C144" s="184" t="s">
        <v>118</v>
      </c>
      <c r="D144" s="185" t="e">
        <f>IF($F$31="ja",ROUND($F$32/$D$146*100,2)&amp;" % von "&amp;ROUND(F137,2)&amp;" € für "&amp;$F$32&amp;" Anschlüsse von "&amp;$D$146&amp;" Anschlüssen","")</f>
        <v>#DIV/0!</v>
      </c>
      <c r="E144" s="38"/>
      <c r="F144" s="186" t="e">
        <f>IF($F$31="ja",$F$137*$F$32/$D$146,0)</f>
        <v>#DIV/0!</v>
      </c>
      <c r="G144" s="135" t="s">
        <v>133</v>
      </c>
      <c r="I144" s="151" t="e">
        <f>IF(F144&gt;0,"entspricht € "&amp;ROUND(F144/$F$32/12,2)&amp;" pro Anschluss und Monat","")</f>
        <v>#DIV/0!</v>
      </c>
      <c r="K144"/>
    </row>
    <row r="145" spans="1:16" x14ac:dyDescent="0.2">
      <c r="B145" s="55"/>
      <c r="C145" s="199" t="s">
        <v>152</v>
      </c>
      <c r="D145" s="200" t="e">
        <f>IF($F$31="ja",ROUND(($D$146-($F$20+$F$26+$F$32))/$D$146*100,2)&amp;" % von "&amp;ROUND(F137,2)&amp;" € für "&amp;$D$146-($F$20+$F$26+$F$32)&amp;" Anschlüsse von "&amp;$D$146&amp;" Anschlüssen",ROUND(($D$146-($F$20+$F$26))/$D$146*100,2)&amp;" % von "&amp;ROUND(F137,2)&amp;" € für "&amp;$D$146-($F$20+$F$26)&amp;" Anschlüsse von "&amp;$D$146&amp;" Anschlüssen")</f>
        <v>#DIV/0!</v>
      </c>
      <c r="E145" s="38"/>
      <c r="F145" s="201" t="e">
        <f>IF($F$31="ja",$F$137*($D$146-($F$20+$F$26+$F$32))/$D$146,$F$137*($D$146-($F$20+$F$26))/$D$146)</f>
        <v>#DIV/0!</v>
      </c>
      <c r="G145" s="202" t="s">
        <v>133</v>
      </c>
      <c r="I145" s="151" t="e">
        <f>IF(F145&gt;0,IF($F$31="ja","entspricht € "&amp;ROUND(F145/($D$146-($F$20+$F$26+$F$32))/12,2)&amp;" pro Anschluss und Monat","entspricht € "&amp;ROUND(F145/($D$146-($F$20+$F$26))/12,2)&amp;" pro Anschluss und Monat"),"negative Werte weisen hier eine Kostenüberdeckung aus, die mit der negativ dargestellten Anzahl an Anschlüssen erzielt wird.")</f>
        <v>#DIV/0!</v>
      </c>
      <c r="K145"/>
    </row>
    <row r="146" spans="1:16" ht="13.5" thickBot="1" x14ac:dyDescent="0.25">
      <c r="B146" s="55"/>
      <c r="C146" s="198" t="s">
        <v>153</v>
      </c>
      <c r="D146" s="188">
        <f>IF($F$33="ja",D115-(F25+F34),D115-(F25))</f>
        <v>0</v>
      </c>
      <c r="E146" s="189"/>
      <c r="F146" s="190" t="e">
        <f>SUM(F142:F145)</f>
        <v>#DIV/0!</v>
      </c>
      <c r="G146" s="135" t="s">
        <v>133</v>
      </c>
      <c r="I146" s="151" t="e">
        <f>IF(F146&gt;0,"entspricht € "&amp;ROUND(F146/$D$146/12,2)&amp;" pro Anschluss und Monat","")</f>
        <v>#DIV/0!</v>
      </c>
      <c r="K146" s="203"/>
    </row>
    <row r="147" spans="1:16" ht="13.5" thickTop="1" x14ac:dyDescent="0.2">
      <c r="B147" s="78"/>
      <c r="D147" s="14"/>
      <c r="E147" s="38"/>
      <c r="K147"/>
    </row>
    <row r="148" spans="1:16" x14ac:dyDescent="0.2">
      <c r="A148" s="93"/>
      <c r="B148" s="93"/>
      <c r="C148" s="73"/>
      <c r="D148" s="94"/>
      <c r="E148" s="204"/>
    </row>
    <row r="149" spans="1:16" s="136" customFormat="1" x14ac:dyDescent="0.2">
      <c r="A149" s="93"/>
      <c r="B149" s="93"/>
      <c r="C149" s="73"/>
      <c r="D149" s="94"/>
      <c r="E149" s="204"/>
      <c r="G149" s="206"/>
      <c r="I149" s="137"/>
      <c r="J149"/>
      <c r="K149" s="18"/>
      <c r="L149"/>
      <c r="M149"/>
      <c r="N149"/>
      <c r="O149"/>
      <c r="P149"/>
    </row>
    <row r="150" spans="1:16" s="136" customFormat="1" x14ac:dyDescent="0.2">
      <c r="A150"/>
      <c r="B150" s="22"/>
      <c r="C150"/>
      <c r="D150" s="207"/>
      <c r="E150" s="75"/>
      <c r="G150" s="135"/>
      <c r="I150" s="137"/>
      <c r="J150"/>
      <c r="K150" s="18"/>
      <c r="L150"/>
      <c r="M150"/>
      <c r="N150"/>
      <c r="O150"/>
      <c r="P150"/>
    </row>
    <row r="151" spans="1:16" s="136" customFormat="1" x14ac:dyDescent="0.2">
      <c r="A151"/>
      <c r="B151" s="78" t="s">
        <v>160</v>
      </c>
      <c r="C151"/>
      <c r="D151" s="14"/>
      <c r="E151"/>
      <c r="G151" s="135"/>
      <c r="I151" s="137"/>
      <c r="J151"/>
      <c r="K151" s="18"/>
      <c r="L151"/>
      <c r="M151"/>
      <c r="N151"/>
      <c r="O151"/>
      <c r="P151"/>
    </row>
    <row r="152" spans="1:16" s="136" customFormat="1" x14ac:dyDescent="0.2">
      <c r="A152"/>
      <c r="B152" s="170" t="s">
        <v>161</v>
      </c>
      <c r="C152" s="170" t="s">
        <v>162</v>
      </c>
      <c r="D152" s="207"/>
      <c r="E152"/>
      <c r="G152" s="135"/>
      <c r="I152" s="137"/>
      <c r="J152"/>
      <c r="K152" s="18"/>
      <c r="L152"/>
      <c r="M152"/>
      <c r="N152"/>
      <c r="O152"/>
      <c r="P152"/>
    </row>
    <row r="153" spans="1:16" s="136" customFormat="1" x14ac:dyDescent="0.2">
      <c r="A153"/>
      <c r="B153" s="170" t="s">
        <v>163</v>
      </c>
      <c r="C153" s="170" t="s">
        <v>164</v>
      </c>
      <c r="D153" s="14"/>
      <c r="E153"/>
      <c r="G153" s="135"/>
      <c r="I153" s="137"/>
      <c r="J153"/>
      <c r="K153" s="18"/>
      <c r="L153"/>
      <c r="M153"/>
      <c r="N153"/>
      <c r="O153"/>
      <c r="P153"/>
    </row>
    <row r="154" spans="1:16" s="136" customFormat="1" x14ac:dyDescent="0.2">
      <c r="A154"/>
      <c r="B154" s="170"/>
      <c r="C154" s="73"/>
      <c r="D154" s="207"/>
      <c r="E154"/>
      <c r="G154" s="135"/>
      <c r="I154" s="137"/>
      <c r="J154"/>
      <c r="K154" s="18"/>
      <c r="L154"/>
      <c r="M154"/>
      <c r="N154"/>
      <c r="O154"/>
      <c r="P154"/>
    </row>
    <row r="155" spans="1:16" s="136" customFormat="1" x14ac:dyDescent="0.2">
      <c r="A155"/>
      <c r="B155" s="170"/>
      <c r="C155" s="208"/>
      <c r="D155" s="14"/>
      <c r="E155"/>
      <c r="G155" s="135"/>
      <c r="I155" s="137"/>
      <c r="J155"/>
      <c r="K155" s="18"/>
      <c r="L155"/>
      <c r="M155"/>
      <c r="N155"/>
      <c r="O155"/>
      <c r="P155"/>
    </row>
    <row r="156" spans="1:16" s="136" customFormat="1" x14ac:dyDescent="0.2">
      <c r="A156"/>
      <c r="B156"/>
      <c r="C156"/>
      <c r="D156" s="207"/>
      <c r="E156"/>
      <c r="G156" s="135"/>
      <c r="I156" s="137"/>
      <c r="J156"/>
      <c r="K156" s="18"/>
      <c r="L156"/>
      <c r="M156"/>
      <c r="N156"/>
      <c r="O156"/>
      <c r="P156"/>
    </row>
    <row r="157" spans="1:16" s="136" customFormat="1" x14ac:dyDescent="0.2">
      <c r="A157"/>
      <c r="B157"/>
      <c r="C157"/>
      <c r="D157" s="14"/>
      <c r="E157"/>
      <c r="G157" s="135"/>
      <c r="I157" s="137"/>
      <c r="J157"/>
      <c r="K157" s="18"/>
      <c r="L157"/>
      <c r="M157"/>
      <c r="N157"/>
      <c r="O157"/>
      <c r="P157"/>
    </row>
    <row r="158" spans="1:16" s="136" customFormat="1" x14ac:dyDescent="0.2">
      <c r="A158"/>
      <c r="B158"/>
      <c r="C158" s="73"/>
      <c r="D158" s="207"/>
      <c r="E158"/>
      <c r="G158" s="135"/>
      <c r="I158" s="137"/>
      <c r="J158"/>
      <c r="K158" s="18"/>
      <c r="L158"/>
      <c r="M158"/>
      <c r="N158"/>
      <c r="O158"/>
      <c r="P158"/>
    </row>
    <row r="159" spans="1:16" s="136" customFormat="1" x14ac:dyDescent="0.2">
      <c r="A159"/>
      <c r="B159"/>
      <c r="C159"/>
      <c r="D159" s="14"/>
      <c r="E159"/>
      <c r="G159" s="135"/>
      <c r="I159" s="137"/>
      <c r="J159"/>
      <c r="K159" s="18"/>
      <c r="L159"/>
      <c r="M159"/>
      <c r="N159"/>
      <c r="O159"/>
      <c r="P159"/>
    </row>
    <row r="160" spans="1:16" s="136" customFormat="1" x14ac:dyDescent="0.2">
      <c r="A160"/>
      <c r="B160"/>
      <c r="C160"/>
      <c r="D160" s="207"/>
      <c r="E160"/>
      <c r="G160" s="135"/>
      <c r="I160" s="137"/>
      <c r="J160"/>
      <c r="K160" s="18"/>
      <c r="L160"/>
      <c r="M160"/>
      <c r="N160"/>
      <c r="O160"/>
      <c r="P160"/>
    </row>
    <row r="161" spans="1:16" s="136" customFormat="1" x14ac:dyDescent="0.2">
      <c r="A161"/>
      <c r="B161"/>
      <c r="C161"/>
      <c r="D161" s="14"/>
      <c r="E161"/>
      <c r="G161" s="135"/>
      <c r="I161" s="137"/>
      <c r="J161"/>
      <c r="K161" s="18"/>
      <c r="L161"/>
      <c r="M161"/>
      <c r="N161"/>
      <c r="O161"/>
      <c r="P161"/>
    </row>
    <row r="162" spans="1:16" s="136" customFormat="1" x14ac:dyDescent="0.2">
      <c r="A162"/>
      <c r="B162"/>
      <c r="C162"/>
      <c r="D162" s="207"/>
      <c r="E162"/>
      <c r="G162" s="135"/>
      <c r="I162" s="137"/>
      <c r="J162"/>
      <c r="K162" s="18"/>
      <c r="L162"/>
      <c r="M162"/>
      <c r="N162"/>
      <c r="O162"/>
      <c r="P162"/>
    </row>
    <row r="163" spans="1:16" s="136" customFormat="1" x14ac:dyDescent="0.2">
      <c r="A163"/>
      <c r="B163"/>
      <c r="C163"/>
      <c r="D163" s="14"/>
      <c r="E163"/>
      <c r="G163" s="135"/>
      <c r="I163" s="137"/>
      <c r="J163"/>
      <c r="K163" s="18"/>
      <c r="L163"/>
      <c r="M163"/>
      <c r="N163"/>
      <c r="O163"/>
      <c r="P163"/>
    </row>
    <row r="164" spans="1:16" s="136" customFormat="1" x14ac:dyDescent="0.2">
      <c r="A164"/>
      <c r="B164"/>
      <c r="C164"/>
      <c r="D164" s="207"/>
      <c r="E164"/>
      <c r="G164" s="135"/>
      <c r="I164" s="137"/>
      <c r="J164"/>
      <c r="K164" s="18"/>
      <c r="L164"/>
      <c r="M164"/>
      <c r="N164"/>
      <c r="O164"/>
      <c r="P164"/>
    </row>
    <row r="165" spans="1:16" s="136" customFormat="1" x14ac:dyDescent="0.2">
      <c r="A165"/>
      <c r="B165"/>
      <c r="C165"/>
      <c r="D165" s="14"/>
      <c r="E165"/>
      <c r="G165" s="135"/>
      <c r="I165" s="137"/>
      <c r="J165"/>
      <c r="K165" s="18"/>
      <c r="L165"/>
      <c r="M165"/>
      <c r="N165"/>
      <c r="O165"/>
      <c r="P165"/>
    </row>
    <row r="166" spans="1:16" s="136" customFormat="1" x14ac:dyDescent="0.2">
      <c r="A166"/>
      <c r="B166"/>
      <c r="C166"/>
      <c r="D166" s="207"/>
      <c r="E166"/>
      <c r="G166" s="135"/>
      <c r="I166" s="137"/>
      <c r="J166"/>
      <c r="K166" s="18"/>
      <c r="L166"/>
      <c r="M166"/>
      <c r="N166"/>
      <c r="O166"/>
      <c r="P166"/>
    </row>
    <row r="167" spans="1:16" s="136" customFormat="1" x14ac:dyDescent="0.2">
      <c r="A167"/>
      <c r="B167"/>
      <c r="C167"/>
      <c r="D167" s="14"/>
      <c r="E167"/>
      <c r="G167" s="135"/>
      <c r="I167" s="137"/>
      <c r="J167"/>
      <c r="K167" s="18"/>
      <c r="L167"/>
      <c r="M167"/>
      <c r="N167"/>
      <c r="O167"/>
      <c r="P167"/>
    </row>
    <row r="168" spans="1:16" s="136" customFormat="1" x14ac:dyDescent="0.2">
      <c r="A168"/>
      <c r="B168"/>
      <c r="C168"/>
      <c r="D168" s="14"/>
      <c r="E168"/>
      <c r="G168" s="135"/>
      <c r="I168" s="137"/>
      <c r="J168"/>
      <c r="K168" s="18"/>
      <c r="L168"/>
      <c r="M168"/>
      <c r="N168"/>
      <c r="O168"/>
      <c r="P168"/>
    </row>
    <row r="169" spans="1:16" s="136" customFormat="1" x14ac:dyDescent="0.2">
      <c r="A169"/>
      <c r="B169"/>
      <c r="C169"/>
      <c r="D169" s="207"/>
      <c r="E169" s="75"/>
      <c r="G169" s="135"/>
      <c r="I169" s="137"/>
      <c r="J169"/>
      <c r="K169" s="18"/>
      <c r="L169"/>
      <c r="M169"/>
      <c r="N169"/>
      <c r="O169"/>
      <c r="P169"/>
    </row>
    <row r="170" spans="1:16" s="136" customFormat="1" x14ac:dyDescent="0.2">
      <c r="A170"/>
      <c r="B170"/>
      <c r="C170"/>
      <c r="D170" s="207"/>
      <c r="E170" s="75"/>
      <c r="G170" s="135"/>
      <c r="I170" s="137"/>
      <c r="J170"/>
      <c r="K170" s="18"/>
      <c r="L170"/>
      <c r="M170"/>
      <c r="N170"/>
      <c r="O170"/>
      <c r="P170"/>
    </row>
    <row r="171" spans="1:16" s="136" customFormat="1" x14ac:dyDescent="0.2">
      <c r="A171"/>
      <c r="B171"/>
      <c r="C171"/>
      <c r="D171" s="14"/>
      <c r="E171"/>
      <c r="G171" s="135"/>
      <c r="I171" s="137"/>
      <c r="J171"/>
      <c r="K171" s="18"/>
      <c r="L171"/>
      <c r="M171"/>
      <c r="N171"/>
      <c r="O171"/>
      <c r="P171"/>
    </row>
    <row r="172" spans="1:16" s="136" customFormat="1" x14ac:dyDescent="0.2">
      <c r="A172"/>
      <c r="B172"/>
      <c r="C172"/>
      <c r="D172" s="14"/>
      <c r="E172"/>
      <c r="G172" s="135"/>
      <c r="I172" s="137"/>
      <c r="J172"/>
      <c r="K172" s="18"/>
      <c r="L172"/>
      <c r="M172"/>
      <c r="N172"/>
      <c r="O172"/>
      <c r="P172"/>
    </row>
    <row r="173" spans="1:16" s="136" customFormat="1" x14ac:dyDescent="0.2">
      <c r="A173"/>
      <c r="B173"/>
      <c r="C173"/>
      <c r="D173" s="207"/>
      <c r="E173" s="75"/>
      <c r="G173" s="135"/>
      <c r="I173" s="137"/>
      <c r="J173"/>
      <c r="K173" s="18"/>
      <c r="L173"/>
      <c r="M173"/>
      <c r="N173"/>
      <c r="O173"/>
      <c r="P173"/>
    </row>
  </sheetData>
  <mergeCells count="1">
    <mergeCell ref="C3:D3"/>
  </mergeCell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2024-12-10T13:49:44Z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ies>
</file>